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Ryan's Other Stuff\Swimming Wizard Tools\"/>
    </mc:Choice>
  </mc:AlternateContent>
  <bookViews>
    <workbookView xWindow="0" yWindow="75" windowWidth="15600" windowHeight="8985" firstSheet="3" activeTab="4"/>
  </bookViews>
  <sheets>
    <sheet name="Stats" sheetId="1" state="hidden" r:id="rId1"/>
    <sheet name="Validation" sheetId="2" state="hidden" r:id="rId2"/>
    <sheet name="calc" sheetId="4" state="hidden" r:id="rId3"/>
    <sheet name="User Notes" sheetId="6" r:id="rId4"/>
    <sheet name="Swimming Calculator" sheetId="5" r:id="rId5"/>
    <sheet name="DV-IDENTITY-0" sheetId="7" state="veryHidden" r:id="rId6"/>
  </sheets>
  <definedNames>
    <definedName name="_xlnm.Print_Area" localSheetId="4">'Swimming Calculator'!$A$1:$K$25</definedName>
  </definedNames>
  <calcPr calcId="152511"/>
</workbook>
</file>

<file path=xl/calcChain.xml><?xml version="1.0" encoding="utf-8"?>
<calcChain xmlns="http://schemas.openxmlformats.org/spreadsheetml/2006/main">
  <c r="A6" i="7" l="1"/>
  <c r="B6" i="7"/>
  <c r="C6" i="7"/>
  <c r="D6" i="7"/>
  <c r="E6" i="7"/>
  <c r="F6" i="7"/>
  <c r="G6" i="7"/>
  <c r="H6" i="7"/>
  <c r="I6" i="7"/>
  <c r="J6" i="7"/>
  <c r="K6" i="7"/>
  <c r="L6" i="7"/>
  <c r="M6" i="7"/>
  <c r="O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X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E2" i="1" l="1"/>
  <c r="G2" i="1"/>
  <c r="K2" i="1"/>
  <c r="J2" i="1"/>
  <c r="I2" i="1"/>
  <c r="S2" i="1" s="1"/>
  <c r="H2" i="1"/>
  <c r="F2" i="1"/>
  <c r="CH2" i="1" s="1"/>
  <c r="C2" i="1"/>
  <c r="CC2" i="1" s="1"/>
  <c r="D2" i="1"/>
  <c r="W2" i="1" s="1"/>
  <c r="B2" i="1"/>
  <c r="C1" i="4"/>
  <c r="B2" i="4"/>
  <c r="C2" i="4" s="1"/>
  <c r="BD2" i="1"/>
  <c r="K3" i="2"/>
  <c r="N3" i="2"/>
  <c r="J4" i="2"/>
  <c r="K4" i="2" s="1"/>
  <c r="M4" i="2"/>
  <c r="N4" i="2" s="1"/>
  <c r="J5" i="2"/>
  <c r="M5" i="2"/>
  <c r="J6" i="2"/>
  <c r="K6" i="2" s="1"/>
  <c r="M6" i="2"/>
  <c r="N6" i="2" s="1"/>
  <c r="J7" i="2"/>
  <c r="K7" i="2" s="1"/>
  <c r="M7" i="2"/>
  <c r="N7" i="2" s="1"/>
  <c r="J8" i="2"/>
  <c r="K8" i="2" s="1"/>
  <c r="M8" i="2"/>
  <c r="N8" i="2" s="1"/>
  <c r="J9" i="2"/>
  <c r="K9" i="2" s="1"/>
  <c r="M9" i="2"/>
  <c r="N9" i="2" s="1"/>
  <c r="J10" i="2"/>
  <c r="K10" i="2" s="1"/>
  <c r="M10" i="2"/>
  <c r="N10" i="2" s="1"/>
  <c r="J11" i="2"/>
  <c r="K11" i="2" s="1"/>
  <c r="M11" i="2"/>
  <c r="N11" i="2" s="1"/>
  <c r="J12" i="2"/>
  <c r="K12" i="2" s="1"/>
  <c r="M12" i="2"/>
  <c r="N12" i="2" s="1"/>
  <c r="J13" i="2"/>
  <c r="K13" i="2" s="1"/>
  <c r="M13" i="2"/>
  <c r="N13" i="2" s="1"/>
  <c r="J14" i="2"/>
  <c r="K14" i="2" s="1"/>
  <c r="M14" i="2"/>
  <c r="N14" i="2" s="1"/>
  <c r="J15" i="2"/>
  <c r="K15" i="2" s="1"/>
  <c r="M15" i="2"/>
  <c r="N15" i="2" s="1"/>
  <c r="J16" i="2"/>
  <c r="K16" i="2" s="1"/>
  <c r="M16" i="2"/>
  <c r="N16" i="2" s="1"/>
  <c r="J17" i="2"/>
  <c r="K17" i="2" s="1"/>
  <c r="M17" i="2"/>
  <c r="N17" i="2" s="1"/>
  <c r="J18" i="2"/>
  <c r="K18" i="2" s="1"/>
  <c r="M18" i="2"/>
  <c r="N18" i="2" s="1"/>
  <c r="J19" i="2"/>
  <c r="K19" i="2" s="1"/>
  <c r="M19" i="2"/>
  <c r="N19" i="2" s="1"/>
  <c r="J20" i="2"/>
  <c r="K20" i="2" s="1"/>
  <c r="M20" i="2"/>
  <c r="N20" i="2" s="1"/>
  <c r="J21" i="2"/>
  <c r="K21" i="2" s="1"/>
  <c r="M21" i="2"/>
  <c r="N21" i="2" s="1"/>
  <c r="J22" i="2"/>
  <c r="K22" i="2" s="1"/>
  <c r="M22" i="2"/>
  <c r="N22" i="2" s="1"/>
  <c r="J23" i="2"/>
  <c r="K23" i="2" s="1"/>
  <c r="M23" i="2"/>
  <c r="N23" i="2" s="1"/>
  <c r="J24" i="2"/>
  <c r="K24" i="2" s="1"/>
  <c r="M24" i="2"/>
  <c r="N24" i="2" s="1"/>
  <c r="J25" i="2"/>
  <c r="K25" i="2" s="1"/>
  <c r="M25" i="2"/>
  <c r="N25" i="2" s="1"/>
  <c r="J26" i="2"/>
  <c r="K26" i="2" s="1"/>
  <c r="M26" i="2"/>
  <c r="N26" i="2" s="1"/>
  <c r="J27" i="2"/>
  <c r="K27" i="2" s="1"/>
  <c r="M27" i="2"/>
  <c r="N27" i="2" s="1"/>
  <c r="R2" i="1"/>
  <c r="P2" i="1"/>
  <c r="K5" i="2" l="1"/>
  <c r="CW5" i="7" s="1"/>
  <c r="CV5" i="7"/>
  <c r="N5" i="2"/>
  <c r="CZ5" i="7" s="1"/>
  <c r="CY5" i="7"/>
  <c r="B3" i="4"/>
  <c r="B4" i="4" s="1"/>
  <c r="B5" i="4" s="1"/>
  <c r="T2" i="1"/>
  <c r="BA2" i="1"/>
  <c r="CI2" i="1"/>
  <c r="C4" i="4"/>
  <c r="C5" i="4"/>
  <c r="HM5" i="7" s="1"/>
  <c r="C3" i="4"/>
  <c r="AJ2" i="1"/>
  <c r="Q2" i="1"/>
  <c r="AA2" i="1"/>
  <c r="AL2" i="1"/>
  <c r="CG2" i="1"/>
  <c r="AE2" i="1"/>
  <c r="Y2" i="1"/>
  <c r="V2" i="1"/>
  <c r="BH2" i="1"/>
  <c r="BP2" i="1"/>
  <c r="BX2" i="1"/>
  <c r="BL2" i="1"/>
  <c r="BT2" i="1"/>
  <c r="CB2" i="1"/>
  <c r="BF2" i="1"/>
  <c r="BJ2" i="1"/>
  <c r="BN2" i="1"/>
  <c r="BR2" i="1"/>
  <c r="BV2" i="1"/>
  <c r="BZ2" i="1"/>
  <c r="CD2" i="1"/>
  <c r="X2" i="1"/>
  <c r="AK2" i="1"/>
  <c r="AM2" i="1"/>
  <c r="CF2" i="1"/>
  <c r="BE2" i="1"/>
  <c r="BG2" i="1"/>
  <c r="BI2" i="1"/>
  <c r="BK2" i="1"/>
  <c r="BM2" i="1"/>
  <c r="BO2" i="1"/>
  <c r="BS2" i="1"/>
  <c r="BU2" i="1"/>
  <c r="BW2" i="1"/>
  <c r="BY2" i="1"/>
  <c r="CA2" i="1"/>
  <c r="AD2" i="1"/>
  <c r="Z2" i="1"/>
  <c r="AC2" i="1"/>
  <c r="AN2" i="1"/>
  <c r="AP2" i="1"/>
  <c r="AR2" i="1"/>
  <c r="AT2" i="1"/>
  <c r="AV2" i="1"/>
  <c r="AX2" i="1"/>
  <c r="AZ2" i="1"/>
  <c r="AO2" i="1"/>
  <c r="AQ2" i="1"/>
  <c r="AS2" i="1"/>
  <c r="AU2" i="1"/>
  <c r="AW2" i="1"/>
  <c r="AY2" i="1"/>
  <c r="U2" i="1"/>
  <c r="BB2" i="1" s="1"/>
  <c r="B6" i="4" l="1"/>
  <c r="HL5" i="7"/>
  <c r="BC2" i="1"/>
  <c r="N2" i="1"/>
  <c r="AB2" i="1"/>
  <c r="B7" i="4" l="1"/>
  <c r="C6" i="4"/>
  <c r="B8" i="4" l="1"/>
  <c r="C7" i="4"/>
  <c r="B9" i="4" l="1"/>
  <c r="C8" i="4"/>
  <c r="B10" i="4" l="1"/>
  <c r="C9" i="4"/>
  <c r="B11" i="4" l="1"/>
  <c r="C10" i="4"/>
  <c r="B12" i="4" l="1"/>
  <c r="C11" i="4"/>
  <c r="B13" i="4" l="1"/>
  <c r="C12" i="4"/>
  <c r="B14" i="4" l="1"/>
  <c r="C13" i="4"/>
  <c r="BQ2" i="1" s="1"/>
  <c r="CE2" i="1" s="1"/>
  <c r="B15" i="4" l="1"/>
  <c r="C14" i="4"/>
  <c r="L2" i="1"/>
  <c r="M2" i="1" s="1"/>
  <c r="AG2" i="1" s="1"/>
  <c r="AH2" i="1" s="1"/>
  <c r="AI2" i="1" s="1"/>
  <c r="O2" i="1" s="1"/>
  <c r="H12" i="5" s="1"/>
  <c r="AF2" i="1"/>
  <c r="B16" i="4" l="1"/>
  <c r="C15" i="4"/>
  <c r="B17" i="4" l="1"/>
  <c r="C16" i="4"/>
  <c r="B18" i="4" l="1"/>
  <c r="C17" i="4"/>
  <c r="B19" i="4" l="1"/>
  <c r="C18" i="4"/>
  <c r="B20" i="4" l="1"/>
  <c r="C19" i="4"/>
  <c r="B21" i="4" l="1"/>
  <c r="C20" i="4"/>
  <c r="B22" i="4" l="1"/>
  <c r="C21" i="4"/>
  <c r="B23" i="4" l="1"/>
  <c r="C22" i="4"/>
  <c r="B24" i="4" l="1"/>
  <c r="C23" i="4"/>
  <c r="B25" i="4" l="1"/>
  <c r="C24" i="4"/>
  <c r="B26" i="4" l="1"/>
  <c r="C26" i="4" s="1"/>
  <c r="C25" i="4"/>
</calcChain>
</file>

<file path=xl/sharedStrings.xml><?xml version="1.0" encoding="utf-8"?>
<sst xmlns="http://schemas.openxmlformats.org/spreadsheetml/2006/main" count="179" uniqueCount="138">
  <si>
    <t>Distance</t>
  </si>
  <si>
    <t>Stroke</t>
  </si>
  <si>
    <t>Cycle Count</t>
  </si>
  <si>
    <t>Turns</t>
  </si>
  <si>
    <t>Avg Kick D (m)</t>
  </si>
  <si>
    <t>Fly</t>
  </si>
  <si>
    <t>Back</t>
  </si>
  <si>
    <t>Breast</t>
  </si>
  <si>
    <t>Free</t>
  </si>
  <si>
    <t>Great</t>
  </si>
  <si>
    <t>Good</t>
  </si>
  <si>
    <t>Average</t>
  </si>
  <si>
    <t>Poor</t>
  </si>
  <si>
    <t>Awful</t>
  </si>
  <si>
    <t>Course</t>
  </si>
  <si>
    <t>SCY</t>
  </si>
  <si>
    <t>LCM</t>
  </si>
  <si>
    <t>SCM</t>
  </si>
  <si>
    <t>Fastest Possible Time</t>
  </si>
  <si>
    <t>meters</t>
  </si>
  <si>
    <t>Lengths</t>
  </si>
  <si>
    <t>Turn factor calc</t>
  </si>
  <si>
    <t>Length Calc</t>
  </si>
  <si>
    <t>Dist Calc</t>
  </si>
  <si>
    <t>Cycle Length (m)</t>
  </si>
  <si>
    <t>Time Calc</t>
  </si>
  <si>
    <t>Swimmer</t>
  </si>
  <si>
    <t>Start Calc</t>
  </si>
  <si>
    <t>Tempo</t>
  </si>
  <si>
    <t>Swim Speed (m/s)</t>
  </si>
  <si>
    <t>World Class</t>
  </si>
  <si>
    <t>Speed (m/s)</t>
  </si>
  <si>
    <t>Elite</t>
  </si>
  <si>
    <t>Ability Level</t>
  </si>
  <si>
    <t>MEN</t>
  </si>
  <si>
    <t>WOMEN</t>
  </si>
  <si>
    <t>Gender</t>
  </si>
  <si>
    <t>Height</t>
  </si>
  <si>
    <t>M</t>
  </si>
  <si>
    <t>F</t>
  </si>
  <si>
    <t>4'11"</t>
  </si>
  <si>
    <t>5'0"</t>
  </si>
  <si>
    <t>5'1"</t>
  </si>
  <si>
    <t>5'2"</t>
  </si>
  <si>
    <t>5'3"</t>
  </si>
  <si>
    <t>5'4"</t>
  </si>
  <si>
    <t>5'5"</t>
  </si>
  <si>
    <t>5'6"</t>
  </si>
  <si>
    <t>5'7"</t>
  </si>
  <si>
    <t>5'8"</t>
  </si>
  <si>
    <t>5'9"</t>
  </si>
  <si>
    <t>5'10"</t>
  </si>
  <si>
    <t>5'11"</t>
  </si>
  <si>
    <t>6'0"</t>
  </si>
  <si>
    <t>6'1"</t>
  </si>
  <si>
    <t>6'2"</t>
  </si>
  <si>
    <t>6'3"</t>
  </si>
  <si>
    <t>6'4"</t>
  </si>
  <si>
    <t>6'5"</t>
  </si>
  <si>
    <t>6'6"</t>
  </si>
  <si>
    <t>6'7"</t>
  </si>
  <si>
    <t>6'8"</t>
  </si>
  <si>
    <t>6'9"</t>
  </si>
  <si>
    <t>6'10"</t>
  </si>
  <si>
    <t>6'11"</t>
  </si>
  <si>
    <t>7'0"</t>
  </si>
  <si>
    <t>12.5 yd kick T</t>
  </si>
  <si>
    <t>equals 1yd</t>
  </si>
  <si>
    <t>True Distance Calc</t>
  </si>
  <si>
    <t>Swim Dist(m)</t>
  </si>
  <si>
    <t>Length of Pool</t>
  </si>
  <si>
    <t>UW Kick Dist</t>
  </si>
  <si>
    <t>True UW Speed</t>
  </si>
  <si>
    <t>Max Underwater Speed Calc</t>
  </si>
  <si>
    <t>UW Speed Decrement</t>
  </si>
  <si>
    <t>Adjustment for UW Decrement:</t>
  </si>
  <si>
    <t>UW Kicking Speed (m/s)</t>
  </si>
  <si>
    <t>4-11</t>
  </si>
  <si>
    <t>5-0</t>
  </si>
  <si>
    <t>5-1</t>
  </si>
  <si>
    <t>5-2</t>
  </si>
  <si>
    <t>5-3</t>
  </si>
  <si>
    <t>5-4</t>
  </si>
  <si>
    <t>5-5</t>
  </si>
  <si>
    <t>5-6</t>
  </si>
  <si>
    <t>5-7</t>
  </si>
  <si>
    <t>5-8</t>
  </si>
  <si>
    <t>5-9</t>
  </si>
  <si>
    <t>5-10</t>
  </si>
  <si>
    <t>5-11</t>
  </si>
  <si>
    <t>6-0</t>
  </si>
  <si>
    <t>6-1</t>
  </si>
  <si>
    <t>6-2</t>
  </si>
  <si>
    <t>6-3</t>
  </si>
  <si>
    <t>6-4</t>
  </si>
  <si>
    <t>6-5</t>
  </si>
  <si>
    <t>6-6</t>
  </si>
  <si>
    <t>6-7</t>
  </si>
  <si>
    <t>6-8</t>
  </si>
  <si>
    <t>6-9</t>
  </si>
  <si>
    <t>6-10</t>
  </si>
  <si>
    <t>6-11</t>
  </si>
  <si>
    <t>7-0</t>
  </si>
  <si>
    <t>Swimmer's Height (m)</t>
  </si>
  <si>
    <t>Height-Relative Turn D</t>
  </si>
  <si>
    <t>Turn D Factor</t>
  </si>
  <si>
    <t>UW Kick/Streamline Ability</t>
  </si>
  <si>
    <t>Swimmer's Name</t>
  </si>
  <si>
    <t>Welcome to the Swimming Calculator!</t>
  </si>
  <si>
    <t>:</t>
  </si>
  <si>
    <t>Average Kick D (m)</t>
  </si>
  <si>
    <t>If you use the parameters you have entered at left CONSISTENTLY throughout your race, your time will be:</t>
  </si>
  <si>
    <t>~Though it has shown to be quite accurate at estimating a swimmer's race time when using actual race data, it is not meant to precisely predict performance.</t>
  </si>
  <si>
    <t>Notes on The Swimming Calculator and its use</t>
  </si>
  <si>
    <t>~The Swimming Calculator is intended to help coaches and athletes determine the most effective means of improvement - whether it be increasing tempo, lengthening one's stroke, improving turns, or kicking underwater.  By understanding what changes will be the easiest to make and will have the most impact, a coach can focus the athletes training on making these changes.</t>
  </si>
  <si>
    <t xml:space="preserve">~The Swimming Calculator is still a work in progress.  I am seeking ways to refine and improve it, specifically in the components of dolphin kicking speed and turn speed, which are difficult to measure and quantify.  Estimates of these measurements for use in the swimming calculator were based on data from my own Sectional and Junior-National caliber athletes.  I would appreciate any feedback anyone has on ideas or suggestions for the Swimming Calculator's function. </t>
  </si>
  <si>
    <t>~The Swimming Calculator operates on the understanding that a swimming race can be divided into mathematically separate components - the start component, the underwater component, the swimming component, and the finish component.  The swimming component can be further broken down into a function of cycle length and cycle tempo.</t>
  </si>
  <si>
    <t>~The Swimming Calculator uses only CYCLES (two hand hits = 1 cycle), rather than strokes.  Thus, for breaststroke and butterfly cycles must be in whole-number form.  For backstroke and freestyle, cycles in increments of 0.5 may be used.</t>
  </si>
  <si>
    <t>~The input box for Cycles is configured to prevent irrationally high or low cycle count numbers from being entered.  Likewise, the input box for Tempo is configured to prevent irrationally high or low tempos from being used.</t>
  </si>
  <si>
    <t>~The Name input box is only present to aid in the identification of the swimmer when printing the Calculator page.</t>
  </si>
  <si>
    <r>
      <t xml:space="preserve">~The units for tempo in the Swimming Calculator are all in </t>
    </r>
    <r>
      <rPr>
        <b/>
        <sz val="11"/>
        <color theme="1"/>
        <rFont val="Calibri"/>
        <family val="2"/>
        <scheme val="minor"/>
      </rPr>
      <t>seconds per cycle</t>
    </r>
    <r>
      <rPr>
        <sz val="11"/>
        <color theme="1"/>
        <rFont val="Calibri"/>
        <family val="2"/>
        <scheme val="minor"/>
      </rPr>
      <t xml:space="preserve"> as I find this to be the easiest to measure during a race.  If you prefer to use cycles per minute, simply use a factor of 60 to convert between the two.</t>
    </r>
  </si>
  <si>
    <t>~The units for swimmer height are in feet and inches.  This data is used to account for differences in the actual distance that a swimmer swims and the actual distance that a swimmer turns from the wall.  For instance, a 6-6 swimmer will not have to swim as far as a 4-6 swimmer because he will turn at a greater distance from the wall.  Thus, leaving all other variables equal and increasing a swimmer's height will result in the calculated time getting faster.</t>
  </si>
  <si>
    <t>~The text "#DIV/0?" will be displayed until all variables have been filled in the calculator.</t>
  </si>
  <si>
    <t>~For all input boxes except Swimmer Name, Cycle Count, Tempo, and Average Kicking Ability, the user will be asked to pick from a pre-determined list of choices.  Click on the cell and choose from the drop down menu by clicking on the arrow to the right of the input box.</t>
  </si>
  <si>
    <t>Please input the following data and your calculated time will appear below.</t>
  </si>
  <si>
    <t>~ The Swimming Calculator's accuracy works on the assumption that these variables are constant throughout a swimming race.  Of course, we know that this is not true.  Thus, we must work with averages.  For instance, a 200 breaststroke swimmer may use 5 cycles per length early in the race and may use 7 cycles per length at the conclusion of the race.  In this case it would be most accurate to use 6 as the cycle input.</t>
  </si>
  <si>
    <t>~Don't have the appropriate data on your swimmers but want to test out the Swimming Calculator? Just punch in some numbers, or if you are a USA Swimming coach member, log in to www.usaswimming.org and go to the Coach tab to look at the USA Swimming Race Analysis Database.</t>
  </si>
  <si>
    <t>~ This excel spreadsheet was developed for coaches to show their athletes the impact that strategically skill-oriented changes can have on their competitive times.  For instance, with a SCY 1650 swimmer, it is eye-opening to some to see what a difference it makes changing from poor turns to elite turns.</t>
  </si>
  <si>
    <t>~Turn speed during a race is highly dependent on swimming speed.  However, I do not have turns calculated this way in the Swimming Calculator.  Turns are calculated using a constant based on the selection of turn performance using the drop-down menu.</t>
  </si>
  <si>
    <t>~Underwater Kicking/Streamlining Ability is factored as a constant based on the selection of speed using the drop-down menu.  The options in that menu represent the range of speed that I have observed swimmers kicking during a controlled test set.  Thus, it would be unreasonable to expect a 1650 free swimmer to kick UW at "World Class" speed.  This option would likely only be reached by truly elite sprinters in events 100 m and shorter.</t>
  </si>
  <si>
    <t>~There are some kinks to work out in the Swimming Calculator regarding breaststroke.  For Underwater Kick/Streamline Ability for a breaststroke race, think "pullout ability."</t>
  </si>
  <si>
    <t>See 'User Notes' tab below for more detailed instructions</t>
  </si>
  <si>
    <t>For any questions, please e-mail Ryan Woodruff at ryan.d.woodruff@gmail.com</t>
  </si>
  <si>
    <r>
      <t xml:space="preserve">~If you have any questions, please email me at </t>
    </r>
    <r>
      <rPr>
        <b/>
        <sz val="11"/>
        <color theme="1"/>
        <rFont val="Calibri"/>
        <family val="2"/>
        <scheme val="minor"/>
      </rPr>
      <t>ryan.d.woodruff@gmail.com</t>
    </r>
  </si>
  <si>
    <r>
      <t xml:space="preserve">~The units for distance in the Swimming Calculator are all in </t>
    </r>
    <r>
      <rPr>
        <b/>
        <sz val="11"/>
        <color theme="1"/>
        <rFont val="Calibri"/>
        <family val="2"/>
        <scheme val="minor"/>
      </rPr>
      <t>meters</t>
    </r>
    <r>
      <rPr>
        <sz val="11"/>
        <color theme="1"/>
        <rFont val="Calibri"/>
        <family val="2"/>
        <scheme val="minor"/>
      </rPr>
      <t xml:space="preserve"> for ease of calculation.</t>
    </r>
  </si>
  <si>
    <t>~When manipulating cycle count, tempo, and underwater (UW) distance, it is important to understand that these variables are largely interdependent.  For example, it is reasonable to expect that Johnny might take 10 cycles per length while kicking 5m off the wall at 1.00 s/cycle.  However, it is not reasonable for Johnny to swim at 10 cycles at 1.00 s/cycle if he kicks 15m off the wall.  This would mean that his cycles would be extremely short.</t>
  </si>
  <si>
    <t>AAAAAH6W2w0=</t>
  </si>
  <si>
    <t>~ The Swimming Calculator was developed by Ryan Woodruff (ryan.d.woodruff@gmail.com).  It is provided for your use free of charge.  All I ask is that you give me proper credit and refer interested coaches to The Swimming Wizard at swimmingwizard.com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</si>
</sst>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quot;.&quot;00"/>
  </numFmts>
  <fonts count="7" x14ac:knownFonts="1">
    <font>
      <sz val="11"/>
      <color theme="1"/>
      <name val="Calibri"/>
      <family val="2"/>
      <scheme val="minor"/>
    </font>
    <font>
      <sz val="11"/>
      <color theme="0"/>
      <name val="Calibri"/>
      <family val="2"/>
      <scheme val="minor"/>
    </font>
    <font>
      <sz val="11"/>
      <name val="Calibri"/>
      <family val="2"/>
      <scheme val="minor"/>
    </font>
    <font>
      <b/>
      <sz val="36"/>
      <color theme="0"/>
      <name val="Calibri"/>
      <family val="2"/>
      <scheme val="minor"/>
    </font>
    <font>
      <b/>
      <sz val="11"/>
      <color theme="1"/>
      <name val="Calibri"/>
      <family val="2"/>
      <scheme val="minor"/>
    </font>
    <font>
      <b/>
      <sz val="16"/>
      <color theme="1"/>
      <name val="Calibri"/>
      <family val="2"/>
      <scheme val="minor"/>
    </font>
    <font>
      <b/>
      <sz val="26"/>
      <color theme="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7030A0"/>
        <bgColor indexed="64"/>
      </patternFill>
    </fill>
    <fill>
      <patternFill patternType="solid">
        <fgColor theme="1"/>
        <bgColor indexed="64"/>
      </patternFill>
    </fill>
    <fill>
      <patternFill patternType="solid">
        <fgColor theme="0"/>
        <bgColor indexed="64"/>
      </patternFill>
    </fill>
  </fills>
  <borders count="4">
    <border>
      <left/>
      <right/>
      <top/>
      <bottom/>
      <diagonal/>
    </border>
    <border>
      <left style="thick">
        <color auto="1"/>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63">
    <xf numFmtId="0" fontId="0" fillId="0" borderId="0" xfId="0"/>
    <xf numFmtId="2" fontId="0" fillId="0" borderId="0" xfId="0" applyNumberFormat="1"/>
    <xf numFmtId="1" fontId="0" fillId="0" borderId="0" xfId="0" applyNumberFormat="1"/>
    <xf numFmtId="164" fontId="0" fillId="0" borderId="0" xfId="0" applyNumberFormat="1"/>
    <xf numFmtId="0" fontId="0" fillId="0" borderId="0" xfId="0" applyAlignment="1">
      <alignment textRotation="90"/>
    </xf>
    <xf numFmtId="2" fontId="0" fillId="0" borderId="0" xfId="0" applyNumberFormat="1" applyAlignment="1">
      <alignment textRotation="90"/>
    </xf>
    <xf numFmtId="0" fontId="0" fillId="0" borderId="0" xfId="0" applyAlignment="1">
      <alignment horizontal="center"/>
    </xf>
    <xf numFmtId="0" fontId="1" fillId="9" borderId="0" xfId="0" applyFont="1" applyFill="1" applyAlignment="1">
      <alignment horizontal="center"/>
    </xf>
    <xf numFmtId="0" fontId="1" fillId="8" borderId="0" xfId="0" applyFont="1" applyFill="1" applyAlignment="1">
      <alignment horizontal="center"/>
    </xf>
    <xf numFmtId="2" fontId="1" fillId="8" borderId="0" xfId="0" applyNumberFormat="1" applyFont="1" applyFill="1" applyAlignment="1">
      <alignment horizontal="center"/>
    </xf>
    <xf numFmtId="0" fontId="1" fillId="8" borderId="1" xfId="0" applyFont="1" applyFill="1" applyBorder="1" applyAlignment="1">
      <alignment horizontal="center"/>
    </xf>
    <xf numFmtId="0" fontId="1" fillId="2" borderId="0" xfId="0" applyFont="1" applyFill="1" applyAlignment="1">
      <alignment horizontal="center"/>
    </xf>
    <xf numFmtId="2" fontId="1" fillId="2" borderId="0" xfId="0" applyNumberFormat="1" applyFont="1" applyFill="1" applyAlignment="1">
      <alignment horizontal="center"/>
    </xf>
    <xf numFmtId="0" fontId="1" fillId="2" borderId="1" xfId="0" applyFont="1" applyFill="1" applyBorder="1" applyAlignment="1">
      <alignment horizontal="center"/>
    </xf>
    <xf numFmtId="0" fontId="1" fillId="3" borderId="0" xfId="0" applyFont="1" applyFill="1" applyAlignment="1">
      <alignment horizontal="center"/>
    </xf>
    <xf numFmtId="2" fontId="1" fillId="3" borderId="0" xfId="0" applyNumberFormat="1" applyFont="1" applyFill="1" applyAlignment="1">
      <alignment horizontal="center"/>
    </xf>
    <xf numFmtId="0" fontId="1" fillId="3" borderId="1" xfId="0" applyFont="1" applyFill="1" applyBorder="1" applyAlignment="1">
      <alignment horizontal="center"/>
    </xf>
    <xf numFmtId="0" fontId="1" fillId="4" borderId="0" xfId="0" applyFont="1" applyFill="1" applyAlignment="1">
      <alignment horizontal="center"/>
    </xf>
    <xf numFmtId="2" fontId="1" fillId="4" borderId="0" xfId="0" applyNumberFormat="1" applyFont="1" applyFill="1" applyAlignment="1">
      <alignment horizontal="center"/>
    </xf>
    <xf numFmtId="0" fontId="1" fillId="4" borderId="1" xfId="0" applyFont="1" applyFill="1" applyBorder="1" applyAlignment="1">
      <alignment horizontal="center"/>
    </xf>
    <xf numFmtId="0" fontId="2" fillId="5" borderId="0" xfId="0" applyFont="1" applyFill="1" applyAlignment="1">
      <alignment horizontal="center"/>
    </xf>
    <xf numFmtId="2" fontId="2" fillId="5" borderId="0" xfId="0" applyNumberFormat="1" applyFont="1" applyFill="1" applyAlignment="1">
      <alignment horizontal="center"/>
    </xf>
    <xf numFmtId="0" fontId="2" fillId="5" borderId="1" xfId="0" applyFont="1" applyFill="1" applyBorder="1" applyAlignment="1">
      <alignment horizontal="center"/>
    </xf>
    <xf numFmtId="0" fontId="2" fillId="6" borderId="0" xfId="0" applyFont="1" applyFill="1" applyAlignment="1">
      <alignment horizontal="center"/>
    </xf>
    <xf numFmtId="2" fontId="2" fillId="6" borderId="0" xfId="0" applyNumberFormat="1" applyFont="1" applyFill="1" applyAlignment="1">
      <alignment horizontal="center"/>
    </xf>
    <xf numFmtId="0" fontId="2" fillId="6" borderId="1" xfId="0" applyFont="1" applyFill="1" applyBorder="1" applyAlignment="1">
      <alignment horizontal="center"/>
    </xf>
    <xf numFmtId="49" fontId="0" fillId="0" borderId="0" xfId="0" applyNumberFormat="1"/>
    <xf numFmtId="0" fontId="0" fillId="0" borderId="0" xfId="0" applyAlignment="1">
      <alignment textRotation="90" wrapText="1"/>
    </xf>
    <xf numFmtId="0" fontId="1" fillId="4"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1" fillId="8" borderId="0" xfId="0" applyFont="1" applyFill="1" applyAlignment="1">
      <alignment horizontal="center" vertical="center" wrapText="1"/>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 fillId="7" borderId="0" xfId="0" applyFont="1" applyFill="1" applyAlignment="1">
      <alignment horizontal="center"/>
    </xf>
    <xf numFmtId="2" fontId="2" fillId="7" borderId="0" xfId="0" applyNumberFormat="1" applyFont="1" applyFill="1" applyAlignment="1">
      <alignment horizontal="center"/>
    </xf>
    <xf numFmtId="0" fontId="2" fillId="7" borderId="0" xfId="0" applyFont="1" applyFill="1" applyAlignment="1">
      <alignment horizontal="center" vertical="center"/>
    </xf>
    <xf numFmtId="0" fontId="2" fillId="7" borderId="1" xfId="0" applyFont="1" applyFill="1" applyBorder="1" applyAlignment="1">
      <alignment horizontal="center"/>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0" fontId="2" fillId="0" borderId="0" xfId="0" applyFont="1" applyFill="1" applyBorder="1" applyAlignment="1">
      <alignment horizontal="center" vertic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0" fillId="3" borderId="0" xfId="0" applyFill="1"/>
    <xf numFmtId="0" fontId="1" fillId="3" borderId="0" xfId="0" applyFont="1" applyFill="1"/>
    <xf numFmtId="0" fontId="1" fillId="3" borderId="0" xfId="0" applyFont="1" applyFill="1" applyAlignment="1">
      <alignment horizontal="right"/>
    </xf>
    <xf numFmtId="0" fontId="1" fillId="3" borderId="0" xfId="0" applyFont="1" applyFill="1" applyAlignment="1">
      <alignment horizontal="left"/>
    </xf>
    <xf numFmtId="0" fontId="0" fillId="10" borderId="2" xfId="0" applyFill="1" applyBorder="1" applyAlignment="1">
      <alignment horizontal="center"/>
    </xf>
    <xf numFmtId="0" fontId="0" fillId="3" borderId="0" xfId="0" applyFill="1" applyAlignment="1">
      <alignment horizontal="center"/>
    </xf>
    <xf numFmtId="0" fontId="0" fillId="0" borderId="0" xfId="0" applyNumberFormat="1" applyAlignment="1">
      <alignment textRotation="90"/>
    </xf>
    <xf numFmtId="0" fontId="0" fillId="0" borderId="0" xfId="0" applyNumberFormat="1"/>
    <xf numFmtId="1" fontId="0" fillId="0" borderId="0" xfId="0" applyNumberFormat="1" applyAlignment="1">
      <alignment textRotation="90"/>
    </xf>
    <xf numFmtId="0" fontId="5" fillId="0" borderId="0" xfId="0" applyFont="1"/>
    <xf numFmtId="0" fontId="6" fillId="3" borderId="0" xfId="0" applyFont="1" applyFill="1"/>
    <xf numFmtId="0" fontId="0" fillId="0" borderId="3" xfId="0" applyBorder="1" applyAlignment="1">
      <alignment wrapText="1"/>
    </xf>
    <xf numFmtId="0" fontId="0" fillId="0" borderId="3" xfId="0" applyBorder="1" applyAlignment="1">
      <alignment vertical="top" wrapText="1"/>
    </xf>
    <xf numFmtId="0" fontId="1" fillId="3" borderId="0" xfId="0" applyFont="1" applyFill="1" applyAlignment="1">
      <alignment horizontal="center" wrapText="1"/>
    </xf>
    <xf numFmtId="164" fontId="3" fillId="3" borderId="0" xfId="0" applyNumberFormat="1" applyFont="1" applyFill="1" applyAlignment="1">
      <alignment horizontal="center"/>
    </xf>
    <xf numFmtId="0" fontId="1" fillId="3" borderId="0" xfId="0" applyFont="1" applyFill="1" applyAlignment="1">
      <alignment horizontal="center" vertical="center" wrapText="1"/>
    </xf>
    <xf numFmtId="0" fontId="0" fillId="0" borderId="0" xfId="0" applyAlignment="1">
      <alignment horizontal="center"/>
    </xf>
    <xf numFmtId="2" fontId="0" fillId="0" borderId="0" xfId="0" applyNumberFormat="1" applyAlignment="1">
      <alignment horizontal="center"/>
    </xf>
    <xf numFmtId="0" fontId="1" fillId="9" borderId="0" xfId="0" applyFont="1" applyFill="1" applyAlignment="1">
      <alignment horizontal="center"/>
    </xf>
  </cellXfs>
  <cellStyles count="1">
    <cellStyle name="Normal" xfId="0" builtinId="0"/>
  </cellStyles>
  <dxfs count="7">
    <dxf>
      <font>
        <color theme="0"/>
      </font>
      <fill>
        <patternFill>
          <bgColor rgb="FF7030A0"/>
        </patternFill>
      </fill>
    </dxf>
    <dxf>
      <font>
        <color theme="0"/>
      </font>
      <fill>
        <patternFill>
          <bgColor rgb="FF00B0F0"/>
        </patternFill>
      </fill>
    </dxf>
    <dxf>
      <font>
        <color theme="0"/>
      </font>
      <fill>
        <patternFill>
          <bgColor rgb="FF00B050"/>
        </patternFill>
      </fill>
    </dxf>
    <dxf>
      <font>
        <color auto="1"/>
      </font>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I101"/>
  <sheetViews>
    <sheetView zoomScaleNormal="100" workbookViewId="0">
      <pane ySplit="1" topLeftCell="A2" activePane="bottomLeft" state="frozen"/>
      <selection pane="bottomLeft" activeCell="CI1" sqref="P1:CI1048576"/>
    </sheetView>
  </sheetViews>
  <sheetFormatPr defaultRowHeight="15" x14ac:dyDescent="0.25"/>
  <cols>
    <col min="1" max="1" width="15.140625" customWidth="1"/>
    <col min="2" max="2" width="5.140625" customWidth="1"/>
    <col min="3" max="3" width="5.140625" style="51" customWidth="1"/>
    <col min="4" max="4" width="7.5703125" customWidth="1"/>
    <col min="5" max="5" width="9.140625" style="2"/>
    <col min="7" max="7" width="7.85546875" customWidth="1"/>
    <col min="8" max="8" width="7.85546875" style="1" customWidth="1"/>
    <col min="9" max="10" width="7.85546875" customWidth="1"/>
    <col min="11" max="11" width="4.42578125" customWidth="1"/>
    <col min="12" max="12" width="5.140625" style="1" customWidth="1"/>
    <col min="13" max="13" width="4.85546875" style="1" customWidth="1"/>
    <col min="14" max="14" width="4.7109375" style="1" customWidth="1"/>
    <col min="15" max="15" width="8.42578125" customWidth="1"/>
    <col min="16" max="20" width="4.7109375" style="1" hidden="1" customWidth="1"/>
    <col min="21" max="24" width="9.140625" hidden="1" customWidth="1"/>
    <col min="25" max="27" width="7.28515625" hidden="1" customWidth="1"/>
    <col min="28" max="28" width="8.42578125" hidden="1" customWidth="1"/>
    <col min="29" max="31" width="5.42578125" hidden="1" customWidth="1"/>
    <col min="32" max="32" width="17" hidden="1" customWidth="1"/>
    <col min="33" max="33" width="9.140625" hidden="1" customWidth="1"/>
    <col min="34" max="34" width="9.140625" style="1" hidden="1" customWidth="1"/>
    <col min="35" max="35" width="9.140625" style="3" hidden="1" customWidth="1"/>
    <col min="36" max="39" width="5.42578125" hidden="1" customWidth="1"/>
    <col min="40" max="53" width="5.140625" hidden="1" customWidth="1"/>
    <col min="54" max="56" width="9.140625" hidden="1" customWidth="1"/>
    <col min="57" max="82" width="2.85546875" hidden="1" customWidth="1"/>
    <col min="83" max="87" width="9.140625" hidden="1" customWidth="1"/>
  </cols>
  <sheetData>
    <row r="1" spans="1:87" ht="134.25" x14ac:dyDescent="0.25">
      <c r="A1" s="4" t="s">
        <v>26</v>
      </c>
      <c r="B1" s="4" t="s">
        <v>36</v>
      </c>
      <c r="C1" s="50" t="s">
        <v>37</v>
      </c>
      <c r="D1" s="4" t="s">
        <v>14</v>
      </c>
      <c r="E1" s="52" t="s">
        <v>0</v>
      </c>
      <c r="F1" s="4" t="s">
        <v>1</v>
      </c>
      <c r="G1" s="4" t="s">
        <v>2</v>
      </c>
      <c r="H1" s="5" t="s">
        <v>28</v>
      </c>
      <c r="I1" s="4" t="s">
        <v>3</v>
      </c>
      <c r="J1" s="4" t="s">
        <v>106</v>
      </c>
      <c r="K1" s="4" t="s">
        <v>4</v>
      </c>
      <c r="L1" s="5" t="s">
        <v>24</v>
      </c>
      <c r="M1" s="5" t="s">
        <v>29</v>
      </c>
      <c r="N1" s="5" t="s">
        <v>76</v>
      </c>
      <c r="O1" s="4" t="s">
        <v>18</v>
      </c>
      <c r="P1" s="61" t="s">
        <v>21</v>
      </c>
      <c r="Q1" s="61"/>
      <c r="R1" s="61"/>
      <c r="S1" s="61"/>
      <c r="T1" s="61"/>
      <c r="U1" t="s">
        <v>20</v>
      </c>
      <c r="V1" s="60" t="s">
        <v>70</v>
      </c>
      <c r="W1" s="60"/>
      <c r="X1" s="60"/>
      <c r="Y1" s="60" t="s">
        <v>22</v>
      </c>
      <c r="Z1" s="60"/>
      <c r="AA1" s="60"/>
      <c r="AB1" t="s">
        <v>69</v>
      </c>
      <c r="AC1" s="60" t="s">
        <v>23</v>
      </c>
      <c r="AD1" s="60"/>
      <c r="AE1" s="60"/>
      <c r="AF1" s="6" t="s">
        <v>68</v>
      </c>
      <c r="AG1" s="60" t="s">
        <v>25</v>
      </c>
      <c r="AH1" s="60"/>
      <c r="AI1" s="60"/>
      <c r="AJ1" s="60" t="s">
        <v>27</v>
      </c>
      <c r="AK1" s="60"/>
      <c r="AL1" s="60"/>
      <c r="AM1" s="60"/>
      <c r="AN1" s="60" t="s">
        <v>73</v>
      </c>
      <c r="AO1" s="60"/>
      <c r="AP1" s="60"/>
      <c r="AQ1" s="60"/>
      <c r="AR1" s="60"/>
      <c r="AS1" s="60"/>
      <c r="AT1" s="60"/>
      <c r="AU1" s="60"/>
      <c r="AV1" s="60"/>
      <c r="AW1" s="60"/>
      <c r="AX1" s="60"/>
      <c r="AY1" s="60"/>
      <c r="AZ1" s="60"/>
      <c r="BA1" s="60"/>
      <c r="BB1" t="s">
        <v>71</v>
      </c>
      <c r="BC1" t="s">
        <v>72</v>
      </c>
      <c r="BD1" t="s">
        <v>74</v>
      </c>
      <c r="BE1" s="60" t="s">
        <v>103</v>
      </c>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27" t="s">
        <v>104</v>
      </c>
      <c r="CF1" t="s">
        <v>105</v>
      </c>
    </row>
    <row r="2" spans="1:87" x14ac:dyDescent="0.25">
      <c r="B2">
        <f>'Swimming Calculator'!E6</f>
        <v>0</v>
      </c>
      <c r="C2" s="51">
        <f>'Swimming Calculator'!E8</f>
        <v>0</v>
      </c>
      <c r="D2">
        <f>'Swimming Calculator'!E10</f>
        <v>0</v>
      </c>
      <c r="E2" s="2">
        <f>'Swimming Calculator'!E12</f>
        <v>0</v>
      </c>
      <c r="F2">
        <f>'Swimming Calculator'!E14</f>
        <v>0</v>
      </c>
      <c r="G2">
        <f>'Swimming Calculator'!E16</f>
        <v>0</v>
      </c>
      <c r="H2" s="1">
        <f>'Swimming Calculator'!E18</f>
        <v>0</v>
      </c>
      <c r="I2">
        <f>'Swimming Calculator'!E20</f>
        <v>0</v>
      </c>
      <c r="J2">
        <f>'Swimming Calculator'!E22</f>
        <v>0</v>
      </c>
      <c r="K2">
        <f>'Swimming Calculator'!E24</f>
        <v>0</v>
      </c>
      <c r="L2" s="1" t="e">
        <f>((MAX(Y2:AA2))-CE2-K2)/G2</f>
        <v>#DIV/0!</v>
      </c>
      <c r="M2" s="1" t="e">
        <f>(1/H2)*L2</f>
        <v>#DIV/0!</v>
      </c>
      <c r="N2" s="1">
        <f>MAX(AN2:BA2)</f>
        <v>0</v>
      </c>
      <c r="O2" s="3" t="e">
        <f>AI2</f>
        <v>#DIV/0!</v>
      </c>
      <c r="P2" s="1">
        <f>IF(I2="Great", 0.6, 0)</f>
        <v>0</v>
      </c>
      <c r="Q2" s="1">
        <f>IF(I2="Good", 0.8, 0)</f>
        <v>0</v>
      </c>
      <c r="R2" s="1">
        <f>IF(I2="Average", 1, 0)</f>
        <v>0</v>
      </c>
      <c r="S2" s="1">
        <f>IF(I2="Poor", 1.2, 0)</f>
        <v>0</v>
      </c>
      <c r="T2" s="1">
        <f>IF(I2="Awful", 1.5, 0)</f>
        <v>0</v>
      </c>
      <c r="U2" t="e">
        <f>E2/(MAX(V2:X2))</f>
        <v>#DIV/0!</v>
      </c>
      <c r="V2">
        <f>IF(D2="SCY",25,0)</f>
        <v>0</v>
      </c>
      <c r="W2">
        <f>IF(D2="SCM",25,0)</f>
        <v>0</v>
      </c>
      <c r="X2">
        <f>IF(D2="LCM",50,0)</f>
        <v>0</v>
      </c>
      <c r="Y2">
        <f>IF(D2="SCY",22.86,0)</f>
        <v>0</v>
      </c>
      <c r="Z2">
        <f>IF(D2="SCM",25,0)</f>
        <v>0</v>
      </c>
      <c r="AA2">
        <f>IF(D2="LCM",50,0)</f>
        <v>0</v>
      </c>
      <c r="AB2" t="e">
        <f>E2*(MAX(AC2:AE2))-(U2*K2)</f>
        <v>#DIV/0!</v>
      </c>
      <c r="AC2">
        <f>(IF(D2="SCY",0.9114,0))</f>
        <v>0</v>
      </c>
      <c r="AD2">
        <f>IF(D2="SCM",1,0)</f>
        <v>0</v>
      </c>
      <c r="AE2">
        <f>IF(D2="LCM",1,0)</f>
        <v>0</v>
      </c>
      <c r="AF2" t="e">
        <f>AB2-(U2*K2)-((U2-1)*CE2)</f>
        <v>#DIV/0!</v>
      </c>
      <c r="AG2" t="e">
        <f>(AB2/M2)+((U2-1)*(MAX(P2:T2)))-(MAX(AJ2:AM2))+((1/(BC2))*BB2)</f>
        <v>#DIV/0!</v>
      </c>
      <c r="AH2" s="2" t="e">
        <f>(100*(INT(AG2/60))+(AG2-(INT(AG2/60)*60)))*100</f>
        <v>#DIV/0!</v>
      </c>
      <c r="AI2" s="3" t="e">
        <f>AH2</f>
        <v>#DIV/0!</v>
      </c>
      <c r="AJ2">
        <f>IF($F$2="FLY",2,0)</f>
        <v>0</v>
      </c>
      <c r="AK2">
        <f>IF($F$2="BACK",0.9,0)</f>
        <v>0</v>
      </c>
      <c r="AL2">
        <f>IF($F$2="BREAST",3.5,0)</f>
        <v>0</v>
      </c>
      <c r="AM2">
        <f>IF($F$2="FREE",1.7,0)</f>
        <v>0</v>
      </c>
      <c r="AN2">
        <f>IF(AND(B2="M",J2="World Class"),Validation!$K$5,0)</f>
        <v>0</v>
      </c>
      <c r="AO2">
        <f>IF(AND(B2="M",J2="Elite"),Validation!$K$8,0)</f>
        <v>0</v>
      </c>
      <c r="AP2">
        <f>IF(AND(B2="M",J2="Great"),Validation!$K$11,0)</f>
        <v>0</v>
      </c>
      <c r="AQ2">
        <f>IF(AND(B2="M",J2="Good"),Validation!$K$15,0)</f>
        <v>0</v>
      </c>
      <c r="AR2">
        <f>IF(AND(B2="M",J2="Average"),Validation!$K$19,0)</f>
        <v>0</v>
      </c>
      <c r="AS2">
        <f>IF(AND(B2="M",J2="Poor"),Validation!$K$23,0)</f>
        <v>0</v>
      </c>
      <c r="AT2">
        <f>IF(AND(B2="M",J2="Awful"),Validation!$K27,0)</f>
        <v>0</v>
      </c>
      <c r="AU2">
        <f>IF(AND(B2="F",J2="World Class"),Validation!$N$5,0)</f>
        <v>0</v>
      </c>
      <c r="AV2">
        <f>IF(AND(B2="F",J2="Elite"),Validation!$N$8,0)</f>
        <v>0</v>
      </c>
      <c r="AW2">
        <f>IF(AND(B2="F",J2="Great"),Validation!$N$11,0)</f>
        <v>0</v>
      </c>
      <c r="AX2">
        <f>IF(AND(B2="F",J2="Good"),Validation!$N$15,0)</f>
        <v>0</v>
      </c>
      <c r="AY2">
        <f>IF(AND(B2="F",J2="Average"),Validation!$N$19,0)</f>
        <v>0</v>
      </c>
      <c r="AZ2">
        <f>IF(AND(B2="F",J2="Poor"),Validation!$N$23,0)</f>
        <v>0</v>
      </c>
      <c r="BA2">
        <f>IF(AND(B2="F",J2="Awful"),Validation!$N$27,0)</f>
        <v>0</v>
      </c>
      <c r="BB2" t="e">
        <f>U2*K2</f>
        <v>#DIV/0!</v>
      </c>
      <c r="BC2">
        <f>MAX(AN2:BA2)*BD2</f>
        <v>0</v>
      </c>
      <c r="BD2">
        <f>Validation!$P$2</f>
        <v>0.9</v>
      </c>
      <c r="BE2" s="1">
        <f>IF(C2="4-11",calc!$C$1,0)</f>
        <v>0</v>
      </c>
      <c r="BF2" s="1">
        <f>IF(C2="5-0",calc!$C$2,0)</f>
        <v>0</v>
      </c>
      <c r="BG2" s="1">
        <f>IF(C2="5-1",calc!$C$3,0)</f>
        <v>0</v>
      </c>
      <c r="BH2" s="1">
        <f>IF(C2="5-2",calc!$C$4,0)</f>
        <v>0</v>
      </c>
      <c r="BI2" s="1">
        <f>IF(C2="5-3",calc!$C$5,0)</f>
        <v>0</v>
      </c>
      <c r="BJ2" s="1">
        <f>IF(C2="5-4",calc!$C$6,0)</f>
        <v>0</v>
      </c>
      <c r="BK2" s="1">
        <f>IF(C2="5-5",calc!$C$7,0)</f>
        <v>0</v>
      </c>
      <c r="BL2" s="1">
        <f>IF(C2="5-6",calc!$C$8,0)</f>
        <v>0</v>
      </c>
      <c r="BM2" s="1">
        <f>IF(C2="5-7",calc!$C$9,0)</f>
        <v>0</v>
      </c>
      <c r="BN2" s="1">
        <f>IF(C2="5-8",calc!$C$10,0)</f>
        <v>0</v>
      </c>
      <c r="BO2" s="1">
        <f>IF(C2="5-9",calc!$C$11,0)</f>
        <v>0</v>
      </c>
      <c r="BP2" s="1">
        <f>IF(C2="5-10",calc!$C$12,0)</f>
        <v>0</v>
      </c>
      <c r="BQ2" s="1">
        <f>IF(C2="5-11",calc!$C$13,0)</f>
        <v>0</v>
      </c>
      <c r="BR2" s="1">
        <f>IF(C2="6-0",calc!$C$14,0)</f>
        <v>0</v>
      </c>
      <c r="BS2" s="1">
        <f>IF(C2="6-1",calc!$C$15,0)</f>
        <v>0</v>
      </c>
      <c r="BT2" s="1">
        <f>IF(C2="6-2",calc!$C$16,0)</f>
        <v>0</v>
      </c>
      <c r="BU2" s="1">
        <f>IF(C2="6-3",calc!$C$17,0)</f>
        <v>0</v>
      </c>
      <c r="BV2" s="1">
        <f>IF(C2="6-4",calc!$C$18,0)</f>
        <v>0</v>
      </c>
      <c r="BW2" s="1">
        <f>IF(C2="6-5",calc!$C$19,0)</f>
        <v>0</v>
      </c>
      <c r="BX2" s="1">
        <f>IF(C2="6-6",calc!$C$20,0)</f>
        <v>0</v>
      </c>
      <c r="BY2" s="1">
        <f>IF(C2="6-7",calc!$C$21,0)</f>
        <v>0</v>
      </c>
      <c r="BZ2" s="1">
        <f>IF(C2="6-8",calc!$C$22,0)</f>
        <v>0</v>
      </c>
      <c r="CA2" s="1">
        <f>IF(C2="6-9",calc!$C$23,0)</f>
        <v>0</v>
      </c>
      <c r="CB2" s="1">
        <f>IF(C2="6-10",calc!$C$24,0)</f>
        <v>0</v>
      </c>
      <c r="CC2" s="1">
        <f>IF(C2="6-11",calc!$C$25,0)</f>
        <v>0</v>
      </c>
      <c r="CD2" s="1">
        <f>IF(C2="7-0",calc!$C$26,0)</f>
        <v>0</v>
      </c>
      <c r="CE2" t="e">
        <f>MAX(BE2:CD2)/(MAX(CF2:CI2))</f>
        <v>#DIV/0!</v>
      </c>
      <c r="CF2">
        <f>IF(F2="Free",2,0)</f>
        <v>0</v>
      </c>
      <c r="CG2">
        <f>IF(F2="Back",2,0)</f>
        <v>0</v>
      </c>
      <c r="CH2">
        <f>IF(F2="Breast",6,0)</f>
        <v>0</v>
      </c>
      <c r="CI2">
        <f>IF(F2="Fly",6,0)</f>
        <v>0</v>
      </c>
    </row>
    <row r="3" spans="1:87" x14ac:dyDescent="0.25">
      <c r="O3" s="3"/>
      <c r="AH3" s="2"/>
      <c r="BE3" s="1"/>
      <c r="BF3" s="1"/>
      <c r="BG3" s="1"/>
      <c r="BH3" s="1"/>
      <c r="BI3" s="1"/>
      <c r="BJ3" s="1"/>
      <c r="BK3" s="1"/>
      <c r="BL3" s="1"/>
      <c r="BM3" s="1"/>
      <c r="BN3" s="1"/>
      <c r="BO3" s="1"/>
      <c r="BP3" s="1"/>
      <c r="BQ3" s="1"/>
      <c r="BR3" s="1"/>
      <c r="BS3" s="1"/>
      <c r="BT3" s="1"/>
      <c r="BU3" s="1"/>
      <c r="BV3" s="1"/>
      <c r="BW3" s="1"/>
      <c r="BX3" s="1"/>
      <c r="BY3" s="1"/>
      <c r="BZ3" s="1"/>
      <c r="CA3" s="1"/>
      <c r="CB3" s="1"/>
      <c r="CC3" s="1"/>
      <c r="CD3" s="1"/>
    </row>
    <row r="4" spans="1:87" x14ac:dyDescent="0.25">
      <c r="O4" s="3"/>
      <c r="AH4" s="2"/>
      <c r="BE4" s="1"/>
      <c r="BF4" s="1"/>
      <c r="BG4" s="1"/>
      <c r="BH4" s="1"/>
      <c r="BI4" s="1"/>
      <c r="BJ4" s="1"/>
      <c r="BK4" s="1"/>
      <c r="BL4" s="1"/>
      <c r="BM4" s="1"/>
      <c r="BN4" s="1"/>
      <c r="BO4" s="1"/>
      <c r="BP4" s="1"/>
      <c r="BQ4" s="1"/>
      <c r="BR4" s="1"/>
      <c r="BS4" s="1"/>
      <c r="BT4" s="1"/>
      <c r="BU4" s="1"/>
      <c r="BV4" s="1"/>
      <c r="BW4" s="1"/>
      <c r="BX4" s="1"/>
      <c r="BY4" s="1"/>
      <c r="BZ4" s="1"/>
      <c r="CA4" s="1"/>
      <c r="CB4" s="1"/>
      <c r="CC4" s="1"/>
      <c r="CD4" s="1"/>
    </row>
    <row r="5" spans="1:87" x14ac:dyDescent="0.25">
      <c r="O5" s="3"/>
      <c r="AH5" s="2"/>
      <c r="BE5" s="1"/>
      <c r="BF5" s="1"/>
      <c r="BG5" s="1"/>
      <c r="BH5" s="1"/>
      <c r="BI5" s="1"/>
      <c r="BJ5" s="1"/>
      <c r="BK5" s="1"/>
      <c r="BL5" s="1"/>
      <c r="BM5" s="1"/>
      <c r="BN5" s="1"/>
      <c r="BO5" s="1"/>
      <c r="BP5" s="1"/>
      <c r="BQ5" s="1"/>
      <c r="BR5" s="1"/>
      <c r="BS5" s="1"/>
      <c r="BT5" s="1"/>
      <c r="BU5" s="1"/>
      <c r="BV5" s="1"/>
      <c r="BW5" s="1"/>
      <c r="BX5" s="1"/>
      <c r="BY5" s="1"/>
      <c r="BZ5" s="1"/>
      <c r="CA5" s="1"/>
      <c r="CB5" s="1"/>
      <c r="CC5" s="1"/>
      <c r="CD5" s="1"/>
    </row>
    <row r="6" spans="1:87" x14ac:dyDescent="0.25">
      <c r="O6" s="3"/>
      <c r="AH6" s="2"/>
      <c r="BE6" s="1"/>
      <c r="BF6" s="1"/>
      <c r="BG6" s="1"/>
      <c r="BH6" s="1"/>
      <c r="BI6" s="1"/>
      <c r="BJ6" s="1"/>
      <c r="BK6" s="1"/>
      <c r="BL6" s="1"/>
      <c r="BM6" s="1"/>
      <c r="BN6" s="1"/>
      <c r="BO6" s="1"/>
      <c r="BP6" s="1"/>
      <c r="BQ6" s="1"/>
      <c r="BR6" s="1"/>
      <c r="BS6" s="1"/>
      <c r="BT6" s="1"/>
      <c r="BU6" s="1"/>
      <c r="BV6" s="1"/>
      <c r="BW6" s="1"/>
      <c r="BX6" s="1"/>
      <c r="BY6" s="1"/>
      <c r="BZ6" s="1"/>
      <c r="CA6" s="1"/>
      <c r="CB6" s="1"/>
      <c r="CC6" s="1"/>
      <c r="CD6" s="1"/>
    </row>
    <row r="7" spans="1:87" x14ac:dyDescent="0.25">
      <c r="O7" s="3"/>
      <c r="AH7" s="2"/>
      <c r="BE7" s="1"/>
      <c r="BF7" s="1"/>
      <c r="BG7" s="1"/>
      <c r="BH7" s="1"/>
      <c r="BI7" s="1"/>
      <c r="BJ7" s="1"/>
      <c r="BK7" s="1"/>
      <c r="BL7" s="1"/>
      <c r="BM7" s="1"/>
      <c r="BN7" s="1"/>
      <c r="BO7" s="1"/>
      <c r="BP7" s="1"/>
      <c r="BQ7" s="1"/>
      <c r="BR7" s="1"/>
      <c r="BS7" s="1"/>
      <c r="BT7" s="1"/>
      <c r="BU7" s="1"/>
      <c r="BV7" s="1"/>
      <c r="BW7" s="1"/>
      <c r="BX7" s="1"/>
      <c r="BY7" s="1"/>
      <c r="BZ7" s="1"/>
      <c r="CA7" s="1"/>
      <c r="CB7" s="1"/>
      <c r="CC7" s="1"/>
      <c r="CD7" s="1"/>
    </row>
    <row r="8" spans="1:87" x14ac:dyDescent="0.25">
      <c r="O8" s="3"/>
      <c r="AH8" s="2"/>
      <c r="BE8" s="1"/>
      <c r="BF8" s="1"/>
      <c r="BG8" s="1"/>
      <c r="BH8" s="1"/>
      <c r="BI8" s="1"/>
      <c r="BJ8" s="1"/>
      <c r="BK8" s="1"/>
      <c r="BL8" s="1"/>
      <c r="BM8" s="1"/>
      <c r="BN8" s="1"/>
      <c r="BO8" s="1"/>
      <c r="BP8" s="1"/>
      <c r="BQ8" s="1"/>
      <c r="BR8" s="1"/>
      <c r="BS8" s="1"/>
      <c r="BT8" s="1"/>
      <c r="BU8" s="1"/>
      <c r="BV8" s="1"/>
      <c r="BW8" s="1"/>
      <c r="BX8" s="1"/>
      <c r="BY8" s="1"/>
      <c r="BZ8" s="1"/>
      <c r="CA8" s="1"/>
      <c r="CB8" s="1"/>
      <c r="CC8" s="1"/>
      <c r="CD8" s="1"/>
    </row>
    <row r="9" spans="1:87" x14ac:dyDescent="0.25">
      <c r="O9" s="3"/>
      <c r="AH9" s="2"/>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7" x14ac:dyDescent="0.25">
      <c r="O10" s="3"/>
      <c r="AH10" s="2"/>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row>
    <row r="11" spans="1:87" x14ac:dyDescent="0.25">
      <c r="O11" s="3"/>
      <c r="AH11" s="2"/>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row>
    <row r="12" spans="1:87" x14ac:dyDescent="0.25">
      <c r="O12" s="3"/>
      <c r="AH12" s="2"/>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row>
    <row r="13" spans="1:87" x14ac:dyDescent="0.25">
      <c r="O13" s="3"/>
      <c r="AH13" s="2"/>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row>
    <row r="14" spans="1:87" x14ac:dyDescent="0.25">
      <c r="O14" s="3"/>
      <c r="AH14" s="2"/>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7" x14ac:dyDescent="0.25">
      <c r="O15" s="3"/>
      <c r="AH15" s="2"/>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7" x14ac:dyDescent="0.25">
      <c r="O16" s="3"/>
      <c r="AH16" s="2"/>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5:82" x14ac:dyDescent="0.25">
      <c r="O17" s="3"/>
      <c r="AH17" s="2"/>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5:82" x14ac:dyDescent="0.25">
      <c r="O18" s="3"/>
      <c r="AH18" s="2"/>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5:82" x14ac:dyDescent="0.25">
      <c r="O19" s="3"/>
      <c r="AH19" s="2"/>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5:82" x14ac:dyDescent="0.25">
      <c r="O20" s="3"/>
      <c r="AH20" s="2"/>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5:82" x14ac:dyDescent="0.25">
      <c r="O21" s="3"/>
      <c r="AH21" s="2"/>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5:82" x14ac:dyDescent="0.25">
      <c r="O22" s="3"/>
      <c r="AH22" s="2"/>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5:82" x14ac:dyDescent="0.25">
      <c r="O23" s="3"/>
      <c r="AH23" s="2"/>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5:82" x14ac:dyDescent="0.25">
      <c r="O24" s="3"/>
      <c r="AH24" s="2"/>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5:82" x14ac:dyDescent="0.25">
      <c r="O25" s="3"/>
      <c r="AH25" s="2"/>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5:82" x14ac:dyDescent="0.25">
      <c r="O26" s="3"/>
      <c r="AH26" s="2"/>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5:82" x14ac:dyDescent="0.25">
      <c r="O27" s="3"/>
      <c r="AH27" s="2"/>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5:82" x14ac:dyDescent="0.25">
      <c r="O28" s="3"/>
      <c r="AH28" s="2"/>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5:82" x14ac:dyDescent="0.25">
      <c r="O29" s="3"/>
      <c r="AH29" s="2"/>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5:82" x14ac:dyDescent="0.25">
      <c r="O30" s="3"/>
      <c r="AH30" s="2"/>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5:82" x14ac:dyDescent="0.25">
      <c r="O31" s="3"/>
      <c r="AH31" s="2"/>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5:82" x14ac:dyDescent="0.25">
      <c r="O32" s="3"/>
      <c r="AH32" s="2"/>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5:82" x14ac:dyDescent="0.25">
      <c r="O33" s="3"/>
      <c r="AH33" s="2"/>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5:82" x14ac:dyDescent="0.25">
      <c r="O34" s="3"/>
      <c r="AH34" s="2"/>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5:82" x14ac:dyDescent="0.25">
      <c r="O35" s="3"/>
      <c r="AH35" s="2"/>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5:82" x14ac:dyDescent="0.25">
      <c r="O36" s="3"/>
      <c r="AH36" s="2"/>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5:82" x14ac:dyDescent="0.25">
      <c r="O37" s="3"/>
      <c r="AH37" s="2"/>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5:82" x14ac:dyDescent="0.25">
      <c r="O38" s="3"/>
      <c r="AH38" s="2"/>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5:82" x14ac:dyDescent="0.25">
      <c r="O39" s="3"/>
      <c r="AH39" s="2"/>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5:82" x14ac:dyDescent="0.25">
      <c r="O40" s="3"/>
      <c r="AH40" s="2"/>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5:82" x14ac:dyDescent="0.25">
      <c r="O41" s="3"/>
      <c r="AH41" s="2"/>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5:82" x14ac:dyDescent="0.25">
      <c r="O42" s="3"/>
      <c r="AH42" s="2"/>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5:82" x14ac:dyDescent="0.25">
      <c r="O43" s="3"/>
      <c r="AH43" s="2"/>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5:82" x14ac:dyDescent="0.25">
      <c r="O44" s="3"/>
      <c r="AH44" s="2"/>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5:82" x14ac:dyDescent="0.25">
      <c r="O45" s="3"/>
      <c r="AH45" s="2"/>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5:82" x14ac:dyDescent="0.25">
      <c r="O46" s="3"/>
      <c r="AH46" s="2"/>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5:82" x14ac:dyDescent="0.25">
      <c r="O47" s="3"/>
      <c r="AH47" s="2"/>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5:82" x14ac:dyDescent="0.25">
      <c r="O48" s="3"/>
      <c r="AH48" s="2"/>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5:82" x14ac:dyDescent="0.25">
      <c r="O49" s="3"/>
      <c r="AH49" s="2"/>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5:82" x14ac:dyDescent="0.25">
      <c r="O50" s="3"/>
      <c r="AH50" s="2"/>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5:82" x14ac:dyDescent="0.25">
      <c r="O51" s="3"/>
      <c r="AH51" s="2"/>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5:82" x14ac:dyDescent="0.25">
      <c r="O52" s="3"/>
      <c r="AH52" s="2"/>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5:82" x14ac:dyDescent="0.25">
      <c r="O53" s="3"/>
      <c r="AH53" s="2"/>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row>
    <row r="54" spans="15:82" x14ac:dyDescent="0.25">
      <c r="O54" s="3"/>
      <c r="AH54" s="2"/>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5:82" x14ac:dyDescent="0.25">
      <c r="O55" s="3"/>
      <c r="AH55" s="2"/>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5:82" x14ac:dyDescent="0.25">
      <c r="O56" s="3"/>
      <c r="AH56" s="2"/>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5:82" x14ac:dyDescent="0.25">
      <c r="O57" s="3"/>
      <c r="AH57" s="2"/>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row>
    <row r="58" spans="15:82" x14ac:dyDescent="0.25">
      <c r="O58" s="3"/>
      <c r="AH58" s="2"/>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5:82" x14ac:dyDescent="0.25">
      <c r="O59" s="3"/>
      <c r="AH59" s="2"/>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5:82" x14ac:dyDescent="0.25">
      <c r="O60" s="3"/>
      <c r="AH60" s="2"/>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row>
    <row r="61" spans="15:82" x14ac:dyDescent="0.25">
      <c r="O61" s="3"/>
      <c r="AH61" s="2"/>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5:82" x14ac:dyDescent="0.25">
      <c r="O62" s="3"/>
      <c r="AH62" s="2"/>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5:82" x14ac:dyDescent="0.25">
      <c r="O63" s="3"/>
      <c r="AH63" s="2"/>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5:82" x14ac:dyDescent="0.25">
      <c r="O64" s="3"/>
      <c r="AH64" s="2"/>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5:82" x14ac:dyDescent="0.25">
      <c r="O65" s="3"/>
      <c r="AH65" s="2"/>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row>
    <row r="66" spans="15:82" x14ac:dyDescent="0.25">
      <c r="O66" s="3"/>
      <c r="AH66" s="2"/>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5:82" x14ac:dyDescent="0.25">
      <c r="O67" s="3"/>
      <c r="AH67" s="2"/>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5:82" x14ac:dyDescent="0.25">
      <c r="O68" s="3"/>
      <c r="AH68" s="2"/>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5:82" x14ac:dyDescent="0.25">
      <c r="O69" s="3"/>
      <c r="AH69" s="2"/>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5:82" x14ac:dyDescent="0.25">
      <c r="O70" s="3"/>
      <c r="AH70" s="2"/>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5:82" x14ac:dyDescent="0.25">
      <c r="O71" s="3"/>
      <c r="AH71" s="2"/>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5:82" x14ac:dyDescent="0.25">
      <c r="O72" s="3"/>
      <c r="AH72" s="2"/>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5:82" x14ac:dyDescent="0.25">
      <c r="O73" s="3"/>
      <c r="AH73" s="2"/>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5:82" x14ac:dyDescent="0.25">
      <c r="O74" s="3"/>
      <c r="AH74" s="2"/>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5:82" x14ac:dyDescent="0.25">
      <c r="O75" s="3"/>
      <c r="AH75" s="2"/>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5:82" x14ac:dyDescent="0.25">
      <c r="O76" s="3"/>
      <c r="AH76" s="2"/>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5:82" x14ac:dyDescent="0.25">
      <c r="O77" s="3"/>
      <c r="AH77" s="2"/>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5:82" x14ac:dyDescent="0.25">
      <c r="O78" s="3"/>
      <c r="AH78" s="2"/>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5:82" x14ac:dyDescent="0.25">
      <c r="O79" s="3"/>
      <c r="AH79" s="2"/>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5:82" x14ac:dyDescent="0.25">
      <c r="O80" s="3"/>
      <c r="AH80" s="2"/>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5:82" x14ac:dyDescent="0.25">
      <c r="O81" s="3"/>
      <c r="AH81" s="2"/>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5:82" x14ac:dyDescent="0.25">
      <c r="O82" s="3"/>
      <c r="AH82" s="2"/>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5:82" x14ac:dyDescent="0.25">
      <c r="O83" s="3"/>
      <c r="AH83" s="2"/>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5:82" x14ac:dyDescent="0.25">
      <c r="O84" s="3"/>
      <c r="AH84" s="2"/>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5:82" x14ac:dyDescent="0.25">
      <c r="O85" s="3"/>
      <c r="AH85" s="2"/>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5:82" x14ac:dyDescent="0.25">
      <c r="O86" s="3"/>
      <c r="AH86" s="2"/>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5:82" x14ac:dyDescent="0.25">
      <c r="O87" s="3"/>
      <c r="AH87" s="2"/>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5:82" x14ac:dyDescent="0.25">
      <c r="O88" s="3"/>
      <c r="AH88" s="2"/>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5:82" x14ac:dyDescent="0.25">
      <c r="O89" s="3"/>
      <c r="AH89" s="2"/>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5:82" x14ac:dyDescent="0.25">
      <c r="O90" s="3"/>
      <c r="AH90" s="2"/>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5:82" x14ac:dyDescent="0.25">
      <c r="O91" s="3"/>
      <c r="AH91" s="2"/>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5:82" x14ac:dyDescent="0.25">
      <c r="O92" s="3"/>
      <c r="AH92" s="2"/>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5:82" x14ac:dyDescent="0.25">
      <c r="O93" s="3"/>
      <c r="AH93" s="2"/>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5:82" x14ac:dyDescent="0.25">
      <c r="O94" s="3"/>
      <c r="AH94" s="2"/>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5:82" x14ac:dyDescent="0.25">
      <c r="O95" s="3"/>
      <c r="AH95" s="2"/>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5:82" x14ac:dyDescent="0.25">
      <c r="O96" s="3"/>
      <c r="AH96" s="2"/>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5:82" x14ac:dyDescent="0.25">
      <c r="O97" s="3"/>
      <c r="AH97" s="2"/>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5:82" x14ac:dyDescent="0.25">
      <c r="O98" s="3"/>
      <c r="AH98" s="2"/>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5:82" x14ac:dyDescent="0.25">
      <c r="O99" s="3"/>
      <c r="AH99" s="2"/>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15:82" x14ac:dyDescent="0.25">
      <c r="O100" s="3"/>
      <c r="AH100" s="2"/>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5:82" x14ac:dyDescent="0.25">
      <c r="O101" s="3"/>
      <c r="AH101" s="2"/>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sheetData>
  <sheetProtection formatCells="0" formatColumns="0" formatRows="0" selectLockedCells="1"/>
  <mergeCells count="8">
    <mergeCell ref="AN1:BA1"/>
    <mergeCell ref="V1:X1"/>
    <mergeCell ref="BE1:CD1"/>
    <mergeCell ref="P1:T1"/>
    <mergeCell ref="AC1:AE1"/>
    <mergeCell ref="AG1:AI1"/>
    <mergeCell ref="AJ1:AM1"/>
    <mergeCell ref="Y1:AA1"/>
  </mergeCells>
  <conditionalFormatting sqref="J2:J101">
    <cfRule type="cellIs" dxfId="6" priority="1" operator="equal">
      <formula>"Awful"</formula>
    </cfRule>
    <cfRule type="cellIs" dxfId="5" priority="2" operator="equal">
      <formula>"Poor"</formula>
    </cfRule>
    <cfRule type="cellIs" dxfId="4" priority="3" operator="equal">
      <formula>"Average"</formula>
    </cfRule>
    <cfRule type="cellIs" dxfId="3" priority="4" operator="equal">
      <formula>"Good"</formula>
    </cfRule>
    <cfRule type="cellIs" dxfId="2" priority="5" operator="equal">
      <formula>"Great"</formula>
    </cfRule>
    <cfRule type="cellIs" dxfId="1" priority="6" operator="equal">
      <formula>"Elite"</formula>
    </cfRule>
    <cfRule type="cellIs" dxfId="0" priority="7" operator="equal">
      <formula>"World Class"</formula>
    </cfRule>
  </conditionalFormatting>
  <dataValidations count="3">
    <dataValidation type="decimal" allowBlank="1" showInputMessage="1" showErrorMessage="1" sqref="G2:G101">
      <formula1>3</formula1>
      <formula2>50</formula2>
    </dataValidation>
    <dataValidation type="decimal" allowBlank="1" showInputMessage="1" showErrorMessage="1" sqref="H2:H101">
      <formula1>0.5</formula1>
      <formula2>2.5</formula2>
    </dataValidation>
    <dataValidation type="decimal" allowBlank="1" showInputMessage="1" showErrorMessage="1" sqref="K2:K101">
      <formula1>2</formula1>
      <formula2>15</formula2>
    </dataValidation>
  </dataValidations>
  <pageMargins left="0.7" right="0.7" top="0.75" bottom="0.75" header="0.3" footer="0.3"/>
  <pageSetup orientation="portrait" horizontalDpi="300" verticalDpi="300" r:id="rId1"/>
  <customProperties>
    <customPr name="DVSECTIONID" r:id="rId2"/>
  </customProperties>
  <extLst>
    <ext xmlns:x14="http://schemas.microsoft.com/office/spreadsheetml/2009/9/main" uri="{CCE6A557-97BC-4b89-ADB6-D9C93CAAB3DF}">
      <x14:dataValidations xmlns:xm="http://schemas.microsoft.com/office/excel/2006/main" count="7">
        <x14:dataValidation type="list" allowBlank="1" showInputMessage="1" showErrorMessage="1">
          <x14:formula1>
            <xm:f>Validation!D1:D3</xm:f>
          </x14:formula1>
          <xm:sqref>D2:D101</xm:sqref>
        </x14:dataValidation>
        <x14:dataValidation type="list" allowBlank="1" showInputMessage="1" showErrorMessage="1">
          <x14:formula1>
            <xm:f>Validation!C1:C9</xm:f>
          </x14:formula1>
          <xm:sqref>E2:E101</xm:sqref>
        </x14:dataValidation>
        <x14:dataValidation type="list" allowBlank="1" showInputMessage="1" showErrorMessage="1">
          <x14:formula1>
            <xm:f>Validation!A1:A4</xm:f>
          </x14:formula1>
          <xm:sqref>F2:F101</xm:sqref>
        </x14:dataValidation>
        <x14:dataValidation type="list" allowBlank="1" showInputMessage="1" showErrorMessage="1">
          <x14:formula1>
            <xm:f>Validation!B1:B5</xm:f>
          </x14:formula1>
          <xm:sqref>I2:I101</xm:sqref>
        </x14:dataValidation>
        <x14:dataValidation type="list" allowBlank="1" showInputMessage="1" showErrorMessage="1">
          <x14:formula1>
            <xm:f>Validation!E1:E7</xm:f>
          </x14:formula1>
          <xm:sqref>J2:J101</xm:sqref>
        </x14:dataValidation>
        <x14:dataValidation type="list" allowBlank="1" showInputMessage="1" showErrorMessage="1">
          <x14:formula1>
            <xm:f>Validation!H1:H2</xm:f>
          </x14:formula1>
          <xm:sqref>B2:B101</xm:sqref>
        </x14:dataValidation>
        <x14:dataValidation type="list" allowBlank="1" showInputMessage="1" showErrorMessage="1">
          <x14:formula1>
            <xm:f>Validation!I1:I26</xm:f>
          </x14:formula1>
          <xm:sqref>C3:C101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3"/>
  <sheetViews>
    <sheetView workbookViewId="0">
      <selection activeCell="A5" sqref="A5"/>
    </sheetView>
  </sheetViews>
  <sheetFormatPr defaultRowHeight="15" x14ac:dyDescent="0.25"/>
  <cols>
    <col min="10" max="15" width="15.7109375" customWidth="1"/>
    <col min="16" max="16" width="29.85546875" customWidth="1"/>
  </cols>
  <sheetData>
    <row r="1" spans="1:16" x14ac:dyDescent="0.25">
      <c r="A1" t="s">
        <v>5</v>
      </c>
      <c r="B1" t="s">
        <v>9</v>
      </c>
      <c r="C1">
        <v>50</v>
      </c>
      <c r="D1" t="s">
        <v>15</v>
      </c>
      <c r="E1" t="s">
        <v>30</v>
      </c>
      <c r="F1">
        <v>0.91439999999999999</v>
      </c>
      <c r="G1" t="s">
        <v>19</v>
      </c>
      <c r="H1" t="s">
        <v>38</v>
      </c>
      <c r="I1" s="26" t="s">
        <v>77</v>
      </c>
      <c r="J1" s="62" t="s">
        <v>34</v>
      </c>
      <c r="K1" s="62"/>
      <c r="L1" s="62"/>
      <c r="M1" s="62" t="s">
        <v>35</v>
      </c>
      <c r="N1" s="62"/>
      <c r="O1" s="62"/>
      <c r="P1" t="s">
        <v>75</v>
      </c>
    </row>
    <row r="2" spans="1:16" ht="15" customHeight="1" x14ac:dyDescent="0.25">
      <c r="A2" t="s">
        <v>6</v>
      </c>
      <c r="B2" t="s">
        <v>10</v>
      </c>
      <c r="C2">
        <v>100</v>
      </c>
      <c r="D2" t="s">
        <v>16</v>
      </c>
      <c r="E2" t="s">
        <v>32</v>
      </c>
      <c r="F2" t="s">
        <v>67</v>
      </c>
      <c r="H2" t="s">
        <v>39</v>
      </c>
      <c r="I2" s="26" t="s">
        <v>78</v>
      </c>
      <c r="J2" s="7" t="s">
        <v>66</v>
      </c>
      <c r="K2" s="7" t="s">
        <v>31</v>
      </c>
      <c r="L2" s="7" t="s">
        <v>33</v>
      </c>
      <c r="M2" s="7" t="s">
        <v>66</v>
      </c>
      <c r="N2" s="7" t="s">
        <v>31</v>
      </c>
      <c r="O2" s="7" t="s">
        <v>33</v>
      </c>
      <c r="P2">
        <v>0.9</v>
      </c>
    </row>
    <row r="3" spans="1:16" x14ac:dyDescent="0.25">
      <c r="A3" t="s">
        <v>7</v>
      </c>
      <c r="B3" t="s">
        <v>11</v>
      </c>
      <c r="C3">
        <v>200</v>
      </c>
      <c r="D3" t="s">
        <v>17</v>
      </c>
      <c r="E3" t="s">
        <v>9</v>
      </c>
      <c r="I3" s="26" t="s">
        <v>79</v>
      </c>
      <c r="J3" s="8">
        <v>4.2</v>
      </c>
      <c r="K3" s="9">
        <f t="shared" ref="K3:K27" si="0">12.5*0.9144/J3</f>
        <v>2.7214285714285711</v>
      </c>
      <c r="L3" s="31" t="s">
        <v>30</v>
      </c>
      <c r="M3" s="10">
        <v>5</v>
      </c>
      <c r="N3" s="9">
        <f t="shared" ref="N3:N27" si="1">12.5*0.9144/M3</f>
        <v>2.286</v>
      </c>
      <c r="O3" s="31" t="s">
        <v>30</v>
      </c>
    </row>
    <row r="4" spans="1:16" x14ac:dyDescent="0.25">
      <c r="A4" t="s">
        <v>8</v>
      </c>
      <c r="B4" t="s">
        <v>12</v>
      </c>
      <c r="C4">
        <v>400</v>
      </c>
      <c r="E4" t="s">
        <v>10</v>
      </c>
      <c r="I4" s="26" t="s">
        <v>80</v>
      </c>
      <c r="J4" s="8">
        <f t="shared" ref="J4:J27" si="2">J3+0.2</f>
        <v>4.4000000000000004</v>
      </c>
      <c r="K4" s="9">
        <f t="shared" si="0"/>
        <v>2.5977272727272727</v>
      </c>
      <c r="L4" s="31"/>
      <c r="M4" s="10">
        <f t="shared" ref="M4:M27" si="3">M3+0.2</f>
        <v>5.2</v>
      </c>
      <c r="N4" s="9">
        <f t="shared" si="1"/>
        <v>2.1980769230769228</v>
      </c>
      <c r="O4" s="31"/>
    </row>
    <row r="5" spans="1:16" x14ac:dyDescent="0.25">
      <c r="B5" t="s">
        <v>13</v>
      </c>
      <c r="C5">
        <v>500</v>
      </c>
      <c r="E5" t="s">
        <v>11</v>
      </c>
      <c r="I5" s="26" t="s">
        <v>81</v>
      </c>
      <c r="J5" s="8">
        <f t="shared" si="2"/>
        <v>4.6000000000000005</v>
      </c>
      <c r="K5" s="9">
        <f t="shared" si="0"/>
        <v>2.4847826086956517</v>
      </c>
      <c r="L5" s="31"/>
      <c r="M5" s="10">
        <f t="shared" si="3"/>
        <v>5.4</v>
      </c>
      <c r="N5" s="9">
        <f t="shared" si="1"/>
        <v>2.1166666666666667</v>
      </c>
      <c r="O5" s="31"/>
    </row>
    <row r="6" spans="1:16" x14ac:dyDescent="0.25">
      <c r="C6">
        <v>800</v>
      </c>
      <c r="E6" t="s">
        <v>12</v>
      </c>
      <c r="I6" s="26" t="s">
        <v>82</v>
      </c>
      <c r="J6" s="11">
        <f t="shared" si="2"/>
        <v>4.8000000000000007</v>
      </c>
      <c r="K6" s="12">
        <f t="shared" si="0"/>
        <v>2.3812499999999996</v>
      </c>
      <c r="L6" s="32" t="s">
        <v>32</v>
      </c>
      <c r="M6" s="13">
        <f t="shared" si="3"/>
        <v>5.6000000000000005</v>
      </c>
      <c r="N6" s="12">
        <f t="shared" si="1"/>
        <v>2.0410714285714282</v>
      </c>
      <c r="O6" s="32" t="s">
        <v>32</v>
      </c>
    </row>
    <row r="7" spans="1:16" x14ac:dyDescent="0.25">
      <c r="C7">
        <v>1000</v>
      </c>
      <c r="E7" t="s">
        <v>13</v>
      </c>
      <c r="I7" s="26" t="s">
        <v>83</v>
      </c>
      <c r="J7" s="11">
        <f t="shared" si="2"/>
        <v>5.0000000000000009</v>
      </c>
      <c r="K7" s="12">
        <f t="shared" si="0"/>
        <v>2.2859999999999996</v>
      </c>
      <c r="L7" s="32"/>
      <c r="M7" s="13">
        <f t="shared" si="3"/>
        <v>5.8000000000000007</v>
      </c>
      <c r="N7" s="12">
        <f t="shared" si="1"/>
        <v>1.9706896551724136</v>
      </c>
      <c r="O7" s="32"/>
    </row>
    <row r="8" spans="1:16" x14ac:dyDescent="0.25">
      <c r="C8">
        <v>1500</v>
      </c>
      <c r="I8" s="26" t="s">
        <v>84</v>
      </c>
      <c r="J8" s="11">
        <f t="shared" si="2"/>
        <v>5.2000000000000011</v>
      </c>
      <c r="K8" s="12">
        <f t="shared" si="0"/>
        <v>2.1980769230769224</v>
      </c>
      <c r="L8" s="32"/>
      <c r="M8" s="13">
        <f t="shared" si="3"/>
        <v>6.0000000000000009</v>
      </c>
      <c r="N8" s="12">
        <f t="shared" si="1"/>
        <v>1.9049999999999996</v>
      </c>
      <c r="O8" s="32"/>
    </row>
    <row r="9" spans="1:16" x14ac:dyDescent="0.25">
      <c r="C9">
        <v>1650</v>
      </c>
      <c r="I9" s="26" t="s">
        <v>85</v>
      </c>
      <c r="J9" s="14">
        <f t="shared" si="2"/>
        <v>5.4000000000000012</v>
      </c>
      <c r="K9" s="15">
        <f t="shared" si="0"/>
        <v>2.1166666666666663</v>
      </c>
      <c r="L9" s="33" t="s">
        <v>9</v>
      </c>
      <c r="M9" s="16">
        <f t="shared" si="3"/>
        <v>6.2000000000000011</v>
      </c>
      <c r="N9" s="15">
        <f t="shared" si="1"/>
        <v>1.8435483870967739</v>
      </c>
      <c r="O9" s="33" t="s">
        <v>9</v>
      </c>
    </row>
    <row r="10" spans="1:16" x14ac:dyDescent="0.25">
      <c r="I10" s="26" t="s">
        <v>86</v>
      </c>
      <c r="J10" s="14">
        <f t="shared" si="2"/>
        <v>5.6000000000000014</v>
      </c>
      <c r="K10" s="15">
        <f t="shared" si="0"/>
        <v>2.0410714285714282</v>
      </c>
      <c r="L10" s="33"/>
      <c r="M10" s="16">
        <f t="shared" si="3"/>
        <v>6.4000000000000012</v>
      </c>
      <c r="N10" s="15">
        <f t="shared" si="1"/>
        <v>1.7859374999999995</v>
      </c>
      <c r="O10" s="33"/>
    </row>
    <row r="11" spans="1:16" x14ac:dyDescent="0.25">
      <c r="I11" s="26" t="s">
        <v>87</v>
      </c>
      <c r="J11" s="14">
        <f t="shared" si="2"/>
        <v>5.8000000000000016</v>
      </c>
      <c r="K11" s="15">
        <f t="shared" si="0"/>
        <v>1.9706896551724131</v>
      </c>
      <c r="L11" s="33"/>
      <c r="M11" s="16">
        <f t="shared" si="3"/>
        <v>6.6000000000000014</v>
      </c>
      <c r="N11" s="15">
        <f t="shared" si="1"/>
        <v>1.7318181818181815</v>
      </c>
      <c r="O11" s="33"/>
    </row>
    <row r="12" spans="1:16" x14ac:dyDescent="0.25">
      <c r="I12" s="26" t="s">
        <v>88</v>
      </c>
      <c r="J12" s="17">
        <f t="shared" si="2"/>
        <v>6.0000000000000018</v>
      </c>
      <c r="K12" s="18">
        <f t="shared" si="0"/>
        <v>1.9049999999999994</v>
      </c>
      <c r="L12" s="28" t="s">
        <v>10</v>
      </c>
      <c r="M12" s="19">
        <f t="shared" si="3"/>
        <v>6.8000000000000016</v>
      </c>
      <c r="N12" s="18">
        <f t="shared" si="1"/>
        <v>1.6808823529411761</v>
      </c>
      <c r="O12" s="28" t="s">
        <v>10</v>
      </c>
    </row>
    <row r="13" spans="1:16" x14ac:dyDescent="0.25">
      <c r="I13" s="26" t="s">
        <v>89</v>
      </c>
      <c r="J13" s="17">
        <f t="shared" si="2"/>
        <v>6.200000000000002</v>
      </c>
      <c r="K13" s="18">
        <f t="shared" si="0"/>
        <v>1.8435483870967735</v>
      </c>
      <c r="L13" s="28"/>
      <c r="M13" s="19">
        <f t="shared" si="3"/>
        <v>7.0000000000000018</v>
      </c>
      <c r="N13" s="18">
        <f t="shared" si="1"/>
        <v>1.6328571428571423</v>
      </c>
      <c r="O13" s="28"/>
    </row>
    <row r="14" spans="1:16" x14ac:dyDescent="0.25">
      <c r="I14" s="26" t="s">
        <v>90</v>
      </c>
      <c r="J14" s="17">
        <f t="shared" si="2"/>
        <v>6.4000000000000021</v>
      </c>
      <c r="K14" s="18">
        <f t="shared" si="0"/>
        <v>1.7859374999999993</v>
      </c>
      <c r="L14" s="28"/>
      <c r="M14" s="19">
        <f t="shared" si="3"/>
        <v>7.200000000000002</v>
      </c>
      <c r="N14" s="18">
        <f t="shared" si="1"/>
        <v>1.5874999999999995</v>
      </c>
      <c r="O14" s="28"/>
    </row>
    <row r="15" spans="1:16" x14ac:dyDescent="0.25">
      <c r="I15" s="26" t="s">
        <v>91</v>
      </c>
      <c r="J15" s="17">
        <f t="shared" si="2"/>
        <v>6.6000000000000023</v>
      </c>
      <c r="K15" s="18">
        <f t="shared" si="0"/>
        <v>1.7318181818181813</v>
      </c>
      <c r="L15" s="28"/>
      <c r="M15" s="19">
        <f t="shared" si="3"/>
        <v>7.4000000000000021</v>
      </c>
      <c r="N15" s="18">
        <f t="shared" si="1"/>
        <v>1.544594594594594</v>
      </c>
      <c r="O15" s="28"/>
    </row>
    <row r="16" spans="1:16" x14ac:dyDescent="0.25">
      <c r="I16" s="26" t="s">
        <v>92</v>
      </c>
      <c r="J16" s="20">
        <f t="shared" si="2"/>
        <v>6.8000000000000025</v>
      </c>
      <c r="K16" s="21">
        <f t="shared" si="0"/>
        <v>1.6808823529411758</v>
      </c>
      <c r="L16" s="29" t="s">
        <v>11</v>
      </c>
      <c r="M16" s="22">
        <f t="shared" si="3"/>
        <v>7.6000000000000023</v>
      </c>
      <c r="N16" s="21">
        <f t="shared" si="1"/>
        <v>1.503947368421052</v>
      </c>
      <c r="O16" s="29" t="s">
        <v>11</v>
      </c>
    </row>
    <row r="17" spans="9:15" x14ac:dyDescent="0.25">
      <c r="I17" s="26" t="s">
        <v>93</v>
      </c>
      <c r="J17" s="20">
        <f t="shared" si="2"/>
        <v>7.0000000000000027</v>
      </c>
      <c r="K17" s="21">
        <f t="shared" si="0"/>
        <v>1.6328571428571421</v>
      </c>
      <c r="L17" s="29"/>
      <c r="M17" s="22">
        <f t="shared" si="3"/>
        <v>7.8000000000000025</v>
      </c>
      <c r="N17" s="21">
        <f t="shared" si="1"/>
        <v>1.4653846153846148</v>
      </c>
      <c r="O17" s="29"/>
    </row>
    <row r="18" spans="9:15" x14ac:dyDescent="0.25">
      <c r="I18" s="26" t="s">
        <v>94</v>
      </c>
      <c r="J18" s="20">
        <f t="shared" si="2"/>
        <v>7.2000000000000028</v>
      </c>
      <c r="K18" s="21">
        <f t="shared" si="0"/>
        <v>1.5874999999999992</v>
      </c>
      <c r="L18" s="29"/>
      <c r="M18" s="22">
        <f t="shared" si="3"/>
        <v>8.0000000000000018</v>
      </c>
      <c r="N18" s="21">
        <f t="shared" si="1"/>
        <v>1.4287499999999997</v>
      </c>
      <c r="O18" s="29"/>
    </row>
    <row r="19" spans="9:15" x14ac:dyDescent="0.25">
      <c r="I19" s="26" t="s">
        <v>95</v>
      </c>
      <c r="J19" s="20">
        <f t="shared" si="2"/>
        <v>7.400000000000003</v>
      </c>
      <c r="K19" s="21">
        <f t="shared" si="0"/>
        <v>1.544594594594594</v>
      </c>
      <c r="L19" s="29"/>
      <c r="M19" s="22">
        <f t="shared" si="3"/>
        <v>8.2000000000000011</v>
      </c>
      <c r="N19" s="21">
        <f t="shared" si="1"/>
        <v>1.3939024390243899</v>
      </c>
      <c r="O19" s="29"/>
    </row>
    <row r="20" spans="9:15" x14ac:dyDescent="0.25">
      <c r="I20" s="26" t="s">
        <v>96</v>
      </c>
      <c r="J20" s="23">
        <f t="shared" si="2"/>
        <v>7.6000000000000032</v>
      </c>
      <c r="K20" s="24">
        <f t="shared" si="0"/>
        <v>1.503947368421052</v>
      </c>
      <c r="L20" s="30" t="s">
        <v>12</v>
      </c>
      <c r="M20" s="25">
        <f t="shared" si="3"/>
        <v>8.4</v>
      </c>
      <c r="N20" s="24">
        <f t="shared" si="1"/>
        <v>1.3607142857142855</v>
      </c>
      <c r="O20" s="30" t="s">
        <v>12</v>
      </c>
    </row>
    <row r="21" spans="9:15" x14ac:dyDescent="0.25">
      <c r="I21" s="26" t="s">
        <v>97</v>
      </c>
      <c r="J21" s="23">
        <f t="shared" si="2"/>
        <v>7.8000000000000034</v>
      </c>
      <c r="K21" s="24">
        <f t="shared" si="0"/>
        <v>1.4653846153846146</v>
      </c>
      <c r="L21" s="30"/>
      <c r="M21" s="25">
        <f t="shared" si="3"/>
        <v>8.6</v>
      </c>
      <c r="N21" s="24">
        <f t="shared" si="1"/>
        <v>1.3290697674418606</v>
      </c>
      <c r="O21" s="30"/>
    </row>
    <row r="22" spans="9:15" x14ac:dyDescent="0.25">
      <c r="I22" s="26" t="s">
        <v>98</v>
      </c>
      <c r="J22" s="23">
        <f t="shared" si="2"/>
        <v>8.0000000000000036</v>
      </c>
      <c r="K22" s="24">
        <f t="shared" si="0"/>
        <v>1.4287499999999993</v>
      </c>
      <c r="L22" s="30"/>
      <c r="M22" s="25">
        <f t="shared" si="3"/>
        <v>8.7999999999999989</v>
      </c>
      <c r="N22" s="24">
        <f t="shared" si="1"/>
        <v>1.2988636363636366</v>
      </c>
      <c r="O22" s="30"/>
    </row>
    <row r="23" spans="9:15" x14ac:dyDescent="0.25">
      <c r="I23" s="26" t="s">
        <v>99</v>
      </c>
      <c r="J23" s="23">
        <f t="shared" si="2"/>
        <v>8.2000000000000028</v>
      </c>
      <c r="K23" s="24">
        <f t="shared" si="0"/>
        <v>1.3939024390243897</v>
      </c>
      <c r="L23" s="30"/>
      <c r="M23" s="25">
        <f t="shared" si="3"/>
        <v>8.9999999999999982</v>
      </c>
      <c r="N23" s="24">
        <f t="shared" si="1"/>
        <v>1.2700000000000002</v>
      </c>
      <c r="O23" s="30"/>
    </row>
    <row r="24" spans="9:15" x14ac:dyDescent="0.25">
      <c r="I24" s="26" t="s">
        <v>100</v>
      </c>
      <c r="J24" s="34">
        <f t="shared" si="2"/>
        <v>8.4000000000000021</v>
      </c>
      <c r="K24" s="35">
        <f t="shared" si="0"/>
        <v>1.3607142857142853</v>
      </c>
      <c r="L24" s="36" t="s">
        <v>13</v>
      </c>
      <c r="M24" s="37">
        <f t="shared" si="3"/>
        <v>9.1999999999999975</v>
      </c>
      <c r="N24" s="35">
        <f t="shared" si="1"/>
        <v>1.2423913043478263</v>
      </c>
      <c r="O24" s="36" t="s">
        <v>13</v>
      </c>
    </row>
    <row r="25" spans="9:15" x14ac:dyDescent="0.25">
      <c r="I25" s="26" t="s">
        <v>101</v>
      </c>
      <c r="J25" s="34">
        <f t="shared" si="2"/>
        <v>8.6000000000000014</v>
      </c>
      <c r="K25" s="35">
        <f t="shared" si="0"/>
        <v>1.3290697674418601</v>
      </c>
      <c r="L25" s="36"/>
      <c r="M25" s="37">
        <f t="shared" si="3"/>
        <v>9.3999999999999968</v>
      </c>
      <c r="N25" s="35">
        <f t="shared" si="1"/>
        <v>1.215957446808511</v>
      </c>
      <c r="O25" s="36"/>
    </row>
    <row r="26" spans="9:15" x14ac:dyDescent="0.25">
      <c r="I26" s="26" t="s">
        <v>102</v>
      </c>
      <c r="J26" s="34">
        <f t="shared" si="2"/>
        <v>8.8000000000000007</v>
      </c>
      <c r="K26" s="35">
        <f t="shared" si="0"/>
        <v>1.2988636363636363</v>
      </c>
      <c r="L26" s="36"/>
      <c r="M26" s="37">
        <f t="shared" si="3"/>
        <v>9.5999999999999961</v>
      </c>
      <c r="N26" s="35">
        <f t="shared" si="1"/>
        <v>1.1906250000000005</v>
      </c>
      <c r="O26" s="36"/>
    </row>
    <row r="27" spans="9:15" x14ac:dyDescent="0.25">
      <c r="J27" s="34">
        <f t="shared" si="2"/>
        <v>9</v>
      </c>
      <c r="K27" s="35">
        <f t="shared" si="0"/>
        <v>1.27</v>
      </c>
      <c r="L27" s="36"/>
      <c r="M27" s="37">
        <f t="shared" si="3"/>
        <v>9.7999999999999954</v>
      </c>
      <c r="N27" s="35">
        <f t="shared" si="1"/>
        <v>1.1663265306122454</v>
      </c>
      <c r="O27" s="36"/>
    </row>
    <row r="28" spans="9:15" x14ac:dyDescent="0.25">
      <c r="J28" s="38"/>
      <c r="K28" s="39"/>
      <c r="L28" s="40"/>
      <c r="M28" s="38"/>
      <c r="N28" s="39"/>
      <c r="O28" s="40"/>
    </row>
    <row r="29" spans="9:15" x14ac:dyDescent="0.25">
      <c r="J29" s="41"/>
      <c r="K29" s="42"/>
      <c r="L29" s="43"/>
      <c r="M29" s="41"/>
      <c r="N29" s="42"/>
      <c r="O29" s="43"/>
    </row>
    <row r="30" spans="9:15" x14ac:dyDescent="0.25">
      <c r="J30" s="41"/>
      <c r="K30" s="42"/>
      <c r="L30" s="43"/>
      <c r="M30" s="41"/>
      <c r="N30" s="42"/>
      <c r="O30" s="43"/>
    </row>
    <row r="31" spans="9:15" x14ac:dyDescent="0.25">
      <c r="J31" s="41"/>
      <c r="K31" s="42"/>
      <c r="L31" s="43"/>
      <c r="M31" s="41"/>
      <c r="N31" s="42"/>
      <c r="O31" s="43"/>
    </row>
    <row r="32" spans="9:15" x14ac:dyDescent="0.25">
      <c r="J32" s="41"/>
      <c r="K32" s="42"/>
      <c r="L32" s="43"/>
      <c r="M32" s="41"/>
      <c r="N32" s="42"/>
      <c r="O32" s="43"/>
    </row>
    <row r="33" spans="10:15" x14ac:dyDescent="0.25">
      <c r="J33" s="41"/>
      <c r="K33" s="42"/>
      <c r="L33" s="43"/>
      <c r="M33" s="41"/>
      <c r="N33" s="42"/>
      <c r="O33" s="43"/>
    </row>
  </sheetData>
  <mergeCells count="2">
    <mergeCell ref="J1:L1"/>
    <mergeCell ref="M1:O1"/>
  </mergeCells>
  <pageMargins left="0.7" right="0.7" top="0.75" bottom="0.75" header="0.3" footer="0.3"/>
  <pageSetup orientation="portrait" horizontalDpi="300" verticalDpi="300" r:id="rId1"/>
  <customProperties>
    <customPr name="DVSECTIONID" r:id="rId2"/>
  </customProperties>
  <ignoredErrors>
    <ignoredError sqref="I14 I26"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4"/>
  <sheetViews>
    <sheetView workbookViewId="0">
      <selection activeCell="C1" sqref="C1:C26"/>
    </sheetView>
  </sheetViews>
  <sheetFormatPr defaultRowHeight="15" x14ac:dyDescent="0.25"/>
  <cols>
    <col min="1" max="1" width="9" customWidth="1"/>
  </cols>
  <sheetData>
    <row r="1" spans="1:3" x14ac:dyDescent="0.25">
      <c r="A1" t="s">
        <v>40</v>
      </c>
      <c r="B1">
        <v>59</v>
      </c>
      <c r="C1">
        <f>B1*0.0254</f>
        <v>1.4985999999999999</v>
      </c>
    </row>
    <row r="2" spans="1:3" x14ac:dyDescent="0.25">
      <c r="A2" t="s">
        <v>41</v>
      </c>
      <c r="B2">
        <f>B1+1</f>
        <v>60</v>
      </c>
      <c r="C2">
        <f t="shared" ref="C2:C26" si="0">B2*0.0254</f>
        <v>1.524</v>
      </c>
    </row>
    <row r="3" spans="1:3" ht="15" customHeight="1" x14ac:dyDescent="0.25">
      <c r="A3" t="s">
        <v>42</v>
      </c>
      <c r="B3">
        <f t="shared" ref="B3:B26" si="1">B2+1</f>
        <v>61</v>
      </c>
      <c r="C3">
        <f t="shared" si="0"/>
        <v>1.5493999999999999</v>
      </c>
    </row>
    <row r="4" spans="1:3" x14ac:dyDescent="0.25">
      <c r="A4" t="s">
        <v>43</v>
      </c>
      <c r="B4">
        <f t="shared" si="1"/>
        <v>62</v>
      </c>
      <c r="C4">
        <f t="shared" si="0"/>
        <v>1.5748</v>
      </c>
    </row>
    <row r="5" spans="1:3" x14ac:dyDescent="0.25">
      <c r="A5" t="s">
        <v>44</v>
      </c>
      <c r="B5">
        <f t="shared" si="1"/>
        <v>63</v>
      </c>
      <c r="C5">
        <f t="shared" si="0"/>
        <v>1.6001999999999998</v>
      </c>
    </row>
    <row r="6" spans="1:3" x14ac:dyDescent="0.25">
      <c r="A6" t="s">
        <v>45</v>
      </c>
      <c r="B6">
        <f t="shared" si="1"/>
        <v>64</v>
      </c>
      <c r="C6">
        <f t="shared" si="0"/>
        <v>1.6255999999999999</v>
      </c>
    </row>
    <row r="7" spans="1:3" x14ac:dyDescent="0.25">
      <c r="A7" t="s">
        <v>46</v>
      </c>
      <c r="B7">
        <f t="shared" si="1"/>
        <v>65</v>
      </c>
      <c r="C7">
        <f t="shared" si="0"/>
        <v>1.651</v>
      </c>
    </row>
    <row r="8" spans="1:3" x14ac:dyDescent="0.25">
      <c r="A8" t="s">
        <v>47</v>
      </c>
      <c r="B8">
        <f t="shared" si="1"/>
        <v>66</v>
      </c>
      <c r="C8">
        <f t="shared" si="0"/>
        <v>1.6763999999999999</v>
      </c>
    </row>
    <row r="9" spans="1:3" x14ac:dyDescent="0.25">
      <c r="A9" t="s">
        <v>48</v>
      </c>
      <c r="B9">
        <f t="shared" si="1"/>
        <v>67</v>
      </c>
      <c r="C9">
        <f t="shared" si="0"/>
        <v>1.7018</v>
      </c>
    </row>
    <row r="10" spans="1:3" x14ac:dyDescent="0.25">
      <c r="A10" t="s">
        <v>49</v>
      </c>
      <c r="B10">
        <f t="shared" si="1"/>
        <v>68</v>
      </c>
      <c r="C10">
        <f t="shared" si="0"/>
        <v>1.7271999999999998</v>
      </c>
    </row>
    <row r="11" spans="1:3" x14ac:dyDescent="0.25">
      <c r="A11" t="s">
        <v>50</v>
      </c>
      <c r="B11">
        <f t="shared" si="1"/>
        <v>69</v>
      </c>
      <c r="C11">
        <f t="shared" si="0"/>
        <v>1.7525999999999999</v>
      </c>
    </row>
    <row r="12" spans="1:3" x14ac:dyDescent="0.25">
      <c r="A12" t="s">
        <v>51</v>
      </c>
      <c r="B12">
        <f t="shared" si="1"/>
        <v>70</v>
      </c>
      <c r="C12">
        <f t="shared" si="0"/>
        <v>1.778</v>
      </c>
    </row>
    <row r="13" spans="1:3" x14ac:dyDescent="0.25">
      <c r="A13" t="s">
        <v>52</v>
      </c>
      <c r="B13">
        <f t="shared" si="1"/>
        <v>71</v>
      </c>
      <c r="C13">
        <f t="shared" si="0"/>
        <v>1.8033999999999999</v>
      </c>
    </row>
    <row r="14" spans="1:3" x14ac:dyDescent="0.25">
      <c r="A14" t="s">
        <v>53</v>
      </c>
      <c r="B14">
        <f t="shared" si="1"/>
        <v>72</v>
      </c>
      <c r="C14">
        <f t="shared" si="0"/>
        <v>1.8288</v>
      </c>
    </row>
    <row r="15" spans="1:3" x14ac:dyDescent="0.25">
      <c r="A15" t="s">
        <v>54</v>
      </c>
      <c r="B15">
        <f t="shared" si="1"/>
        <v>73</v>
      </c>
      <c r="C15">
        <f t="shared" si="0"/>
        <v>1.8541999999999998</v>
      </c>
    </row>
    <row r="16" spans="1:3" x14ac:dyDescent="0.25">
      <c r="A16" t="s">
        <v>55</v>
      </c>
      <c r="B16">
        <f t="shared" si="1"/>
        <v>74</v>
      </c>
      <c r="C16">
        <f t="shared" si="0"/>
        <v>1.8795999999999999</v>
      </c>
    </row>
    <row r="17" spans="1:3" x14ac:dyDescent="0.25">
      <c r="A17" t="s">
        <v>56</v>
      </c>
      <c r="B17">
        <f t="shared" si="1"/>
        <v>75</v>
      </c>
      <c r="C17">
        <f t="shared" si="0"/>
        <v>1.905</v>
      </c>
    </row>
    <row r="18" spans="1:3" x14ac:dyDescent="0.25">
      <c r="A18" t="s">
        <v>57</v>
      </c>
      <c r="B18">
        <f t="shared" si="1"/>
        <v>76</v>
      </c>
      <c r="C18">
        <f t="shared" si="0"/>
        <v>1.9303999999999999</v>
      </c>
    </row>
    <row r="19" spans="1:3" x14ac:dyDescent="0.25">
      <c r="A19" t="s">
        <v>58</v>
      </c>
      <c r="B19">
        <f t="shared" si="1"/>
        <v>77</v>
      </c>
      <c r="C19">
        <f t="shared" si="0"/>
        <v>1.9558</v>
      </c>
    </row>
    <row r="20" spans="1:3" x14ac:dyDescent="0.25">
      <c r="A20" t="s">
        <v>59</v>
      </c>
      <c r="B20">
        <f t="shared" si="1"/>
        <v>78</v>
      </c>
      <c r="C20">
        <f t="shared" si="0"/>
        <v>1.9811999999999999</v>
      </c>
    </row>
    <row r="21" spans="1:3" x14ac:dyDescent="0.25">
      <c r="A21" t="s">
        <v>60</v>
      </c>
      <c r="B21">
        <f t="shared" si="1"/>
        <v>79</v>
      </c>
      <c r="C21">
        <f t="shared" si="0"/>
        <v>2.0065999999999997</v>
      </c>
    </row>
    <row r="22" spans="1:3" x14ac:dyDescent="0.25">
      <c r="A22" t="s">
        <v>61</v>
      </c>
      <c r="B22">
        <f t="shared" si="1"/>
        <v>80</v>
      </c>
      <c r="C22">
        <f t="shared" si="0"/>
        <v>2.032</v>
      </c>
    </row>
    <row r="23" spans="1:3" x14ac:dyDescent="0.25">
      <c r="A23" t="s">
        <v>62</v>
      </c>
      <c r="B23">
        <f t="shared" si="1"/>
        <v>81</v>
      </c>
      <c r="C23">
        <f t="shared" si="0"/>
        <v>2.0573999999999999</v>
      </c>
    </row>
    <row r="24" spans="1:3" x14ac:dyDescent="0.25">
      <c r="A24" t="s">
        <v>63</v>
      </c>
      <c r="B24">
        <f t="shared" si="1"/>
        <v>82</v>
      </c>
      <c r="C24">
        <f t="shared" si="0"/>
        <v>2.0827999999999998</v>
      </c>
    </row>
    <row r="25" spans="1:3" x14ac:dyDescent="0.25">
      <c r="A25" t="s">
        <v>64</v>
      </c>
      <c r="B25">
        <f t="shared" si="1"/>
        <v>83</v>
      </c>
      <c r="C25">
        <f t="shared" si="0"/>
        <v>2.1082000000000001</v>
      </c>
    </row>
    <row r="26" spans="1:3" x14ac:dyDescent="0.25">
      <c r="A26" t="s">
        <v>65</v>
      </c>
      <c r="B26">
        <f t="shared" si="1"/>
        <v>84</v>
      </c>
      <c r="C26">
        <f t="shared" si="0"/>
        <v>2.1335999999999999</v>
      </c>
    </row>
    <row r="34" spans="2:2" x14ac:dyDescent="0.25">
      <c r="B34" s="1"/>
    </row>
  </sheetData>
  <pageMargins left="0.7" right="0.7" top="0.75" bottom="0.75" header="0.3" footer="0.3"/>
  <pageSetup orientation="portrait" r:id="rId1"/>
  <customProperties>
    <customPr name="DVSECTION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B23"/>
  <sheetViews>
    <sheetView showGridLines="0" workbookViewId="0">
      <selection activeCell="B4" sqref="B4"/>
    </sheetView>
  </sheetViews>
  <sheetFormatPr defaultRowHeight="15" x14ac:dyDescent="0.25"/>
  <cols>
    <col min="2" max="2" width="87.140625" customWidth="1"/>
  </cols>
  <sheetData>
    <row r="2" spans="2:2" ht="21" x14ac:dyDescent="0.35">
      <c r="B2" s="53" t="s">
        <v>113</v>
      </c>
    </row>
    <row r="3" spans="2:2" ht="49.5" customHeight="1" x14ac:dyDescent="0.25">
      <c r="B3" s="55" t="s">
        <v>137</v>
      </c>
    </row>
    <row r="4" spans="2:2" ht="65.25" customHeight="1" x14ac:dyDescent="0.25">
      <c r="B4" s="56" t="s">
        <v>127</v>
      </c>
    </row>
    <row r="5" spans="2:2" ht="65.25" customHeight="1" x14ac:dyDescent="0.25">
      <c r="B5" s="56" t="s">
        <v>116</v>
      </c>
    </row>
    <row r="6" spans="2:2" ht="35.25" customHeight="1" x14ac:dyDescent="0.25">
      <c r="B6" s="56" t="s">
        <v>114</v>
      </c>
    </row>
    <row r="7" spans="2:2" ht="77.25" customHeight="1" x14ac:dyDescent="0.25">
      <c r="B7" s="56" t="s">
        <v>115</v>
      </c>
    </row>
    <row r="8" spans="2:2" ht="75" customHeight="1" x14ac:dyDescent="0.25">
      <c r="B8" s="56" t="s">
        <v>125</v>
      </c>
    </row>
    <row r="9" spans="2:2" ht="36" customHeight="1" x14ac:dyDescent="0.25">
      <c r="B9" s="56" t="s">
        <v>112</v>
      </c>
    </row>
    <row r="10" spans="2:2" ht="53.25" customHeight="1" x14ac:dyDescent="0.25">
      <c r="B10" s="56" t="s">
        <v>117</v>
      </c>
    </row>
    <row r="11" spans="2:2" ht="51" customHeight="1" x14ac:dyDescent="0.25">
      <c r="B11" s="56" t="s">
        <v>118</v>
      </c>
    </row>
    <row r="12" spans="2:2" ht="36.75" customHeight="1" x14ac:dyDescent="0.25">
      <c r="B12" s="56" t="s">
        <v>119</v>
      </c>
    </row>
    <row r="13" spans="2:2" ht="76.5" customHeight="1" x14ac:dyDescent="0.25">
      <c r="B13" s="56" t="s">
        <v>135</v>
      </c>
    </row>
    <row r="14" spans="2:2" ht="32.25" customHeight="1" x14ac:dyDescent="0.25">
      <c r="B14" s="56" t="s">
        <v>130</v>
      </c>
    </row>
    <row r="15" spans="2:2" x14ac:dyDescent="0.25">
      <c r="B15" s="56" t="s">
        <v>134</v>
      </c>
    </row>
    <row r="16" spans="2:2" ht="45" x14ac:dyDescent="0.25">
      <c r="B16" s="56" t="s">
        <v>120</v>
      </c>
    </row>
    <row r="17" spans="2:2" ht="76.5" customHeight="1" x14ac:dyDescent="0.25">
      <c r="B17" s="56" t="s">
        <v>121</v>
      </c>
    </row>
    <row r="18" spans="2:2" x14ac:dyDescent="0.25">
      <c r="B18" s="56" t="s">
        <v>122</v>
      </c>
    </row>
    <row r="19" spans="2:2" ht="45" x14ac:dyDescent="0.25">
      <c r="B19" s="56" t="s">
        <v>123</v>
      </c>
    </row>
    <row r="20" spans="2:2" ht="60" x14ac:dyDescent="0.25">
      <c r="B20" s="56" t="s">
        <v>126</v>
      </c>
    </row>
    <row r="21" spans="2:2" ht="45" x14ac:dyDescent="0.25">
      <c r="B21" s="56" t="s">
        <v>128</v>
      </c>
    </row>
    <row r="22" spans="2:2" ht="75" x14ac:dyDescent="0.25">
      <c r="B22" s="56" t="s">
        <v>129</v>
      </c>
    </row>
    <row r="23" spans="2:2" x14ac:dyDescent="0.25">
      <c r="B23" s="56" t="s">
        <v>133</v>
      </c>
    </row>
  </sheetData>
  <pageMargins left="0.7" right="0.7" top="0.75" bottom="0.75" header="0.3" footer="0.3"/>
  <pageSetup scale="65" orientation="portrait" r:id="rId1"/>
  <customProperties>
    <customPr name="DVSECTION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24"/>
  <sheetViews>
    <sheetView tabSelected="1" workbookViewId="0">
      <selection activeCell="E24" sqref="E24"/>
    </sheetView>
  </sheetViews>
  <sheetFormatPr defaultRowHeight="15" x14ac:dyDescent="0.25"/>
  <cols>
    <col min="1" max="3" width="9.140625" style="44"/>
    <col min="4" max="4" width="2.7109375" style="44" customWidth="1"/>
    <col min="5" max="5" width="13" style="44" customWidth="1"/>
    <col min="6" max="16384" width="9.140625" style="44"/>
  </cols>
  <sheetData>
    <row r="1" spans="1:11" ht="33.75" x14ac:dyDescent="0.5">
      <c r="A1" s="54" t="s">
        <v>108</v>
      </c>
    </row>
    <row r="2" spans="1:11" x14ac:dyDescent="0.25">
      <c r="B2" s="45" t="s">
        <v>124</v>
      </c>
    </row>
    <row r="4" spans="1:11" x14ac:dyDescent="0.25">
      <c r="C4" s="46" t="s">
        <v>107</v>
      </c>
      <c r="D4" s="47" t="s">
        <v>109</v>
      </c>
      <c r="E4" s="48"/>
    </row>
    <row r="5" spans="1:11" ht="9" customHeight="1" x14ac:dyDescent="0.25">
      <c r="C5" s="46"/>
      <c r="D5" s="45"/>
      <c r="E5" s="49"/>
    </row>
    <row r="6" spans="1:11" ht="15" customHeight="1" x14ac:dyDescent="0.25">
      <c r="C6" s="46" t="s">
        <v>36</v>
      </c>
      <c r="D6" s="47" t="s">
        <v>109</v>
      </c>
      <c r="E6" s="48"/>
      <c r="G6" s="57" t="s">
        <v>111</v>
      </c>
      <c r="H6" s="57"/>
      <c r="I6" s="57"/>
      <c r="J6" s="57"/>
      <c r="K6" s="57"/>
    </row>
    <row r="7" spans="1:11" ht="9" customHeight="1" x14ac:dyDescent="0.25">
      <c r="C7" s="46"/>
      <c r="D7" s="45"/>
      <c r="E7" s="49"/>
      <c r="G7" s="57"/>
      <c r="H7" s="57"/>
      <c r="I7" s="57"/>
      <c r="J7" s="57"/>
      <c r="K7" s="57"/>
    </row>
    <row r="8" spans="1:11" x14ac:dyDescent="0.25">
      <c r="C8" s="46" t="s">
        <v>37</v>
      </c>
      <c r="D8" s="47" t="s">
        <v>109</v>
      </c>
      <c r="E8" s="48"/>
      <c r="G8" s="57"/>
      <c r="H8" s="57"/>
      <c r="I8" s="57"/>
      <c r="J8" s="57"/>
      <c r="K8" s="57"/>
    </row>
    <row r="9" spans="1:11" ht="9" customHeight="1" x14ac:dyDescent="0.25">
      <c r="C9" s="46"/>
      <c r="D9" s="45"/>
      <c r="E9" s="49"/>
      <c r="G9" s="57"/>
      <c r="H9" s="57"/>
      <c r="I9" s="57"/>
      <c r="J9" s="57"/>
      <c r="K9" s="57"/>
    </row>
    <row r="10" spans="1:11" x14ac:dyDescent="0.25">
      <c r="C10" s="46" t="s">
        <v>14</v>
      </c>
      <c r="D10" s="47" t="s">
        <v>109</v>
      </c>
      <c r="E10" s="48"/>
      <c r="G10" s="57"/>
      <c r="H10" s="57"/>
      <c r="I10" s="57"/>
      <c r="J10" s="57"/>
      <c r="K10" s="57"/>
    </row>
    <row r="11" spans="1:11" ht="9" customHeight="1" x14ac:dyDescent="0.25">
      <c r="C11" s="46"/>
      <c r="D11" s="45"/>
      <c r="E11" s="49"/>
    </row>
    <row r="12" spans="1:11" x14ac:dyDescent="0.25">
      <c r="C12" s="46" t="s">
        <v>0</v>
      </c>
      <c r="D12" s="47" t="s">
        <v>109</v>
      </c>
      <c r="E12" s="48"/>
      <c r="H12" s="58" t="e">
        <f>Stats!O2</f>
        <v>#DIV/0!</v>
      </c>
      <c r="I12" s="58"/>
      <c r="J12" s="58"/>
    </row>
    <row r="13" spans="1:11" ht="9" customHeight="1" x14ac:dyDescent="0.25">
      <c r="C13" s="46"/>
      <c r="D13" s="45"/>
      <c r="E13" s="49"/>
      <c r="H13" s="58"/>
      <c r="I13" s="58"/>
      <c r="J13" s="58"/>
    </row>
    <row r="14" spans="1:11" x14ac:dyDescent="0.25">
      <c r="C14" s="46" t="s">
        <v>1</v>
      </c>
      <c r="D14" s="47" t="s">
        <v>109</v>
      </c>
      <c r="E14" s="48"/>
      <c r="H14" s="58"/>
      <c r="I14" s="58"/>
      <c r="J14" s="58"/>
    </row>
    <row r="15" spans="1:11" ht="9" customHeight="1" x14ac:dyDescent="0.25">
      <c r="C15" s="46"/>
      <c r="D15" s="45"/>
      <c r="E15" s="49"/>
    </row>
    <row r="16" spans="1:11" x14ac:dyDescent="0.25">
      <c r="C16" s="46" t="s">
        <v>2</v>
      </c>
      <c r="D16" s="47" t="s">
        <v>109</v>
      </c>
      <c r="E16" s="48"/>
    </row>
    <row r="17" spans="3:11" ht="9" customHeight="1" x14ac:dyDescent="0.25">
      <c r="C17" s="46"/>
      <c r="D17" s="45"/>
      <c r="E17" s="49"/>
    </row>
    <row r="18" spans="3:11" x14ac:dyDescent="0.25">
      <c r="C18" s="46" t="s">
        <v>28</v>
      </c>
      <c r="D18" s="47" t="s">
        <v>109</v>
      </c>
      <c r="E18" s="48"/>
    </row>
    <row r="19" spans="3:11" ht="9" customHeight="1" x14ac:dyDescent="0.25">
      <c r="C19" s="46"/>
      <c r="D19" s="45"/>
      <c r="E19" s="49"/>
      <c r="G19" s="59" t="s">
        <v>132</v>
      </c>
      <c r="H19" s="59"/>
      <c r="I19" s="59"/>
      <c r="J19" s="59"/>
      <c r="K19" s="59"/>
    </row>
    <row r="20" spans="3:11" x14ac:dyDescent="0.25">
      <c r="C20" s="46" t="s">
        <v>3</v>
      </c>
      <c r="D20" s="47" t="s">
        <v>109</v>
      </c>
      <c r="E20" s="48"/>
      <c r="G20" s="59"/>
      <c r="H20" s="59"/>
      <c r="I20" s="59"/>
      <c r="J20" s="59"/>
      <c r="K20" s="59"/>
    </row>
    <row r="21" spans="3:11" ht="9" customHeight="1" x14ac:dyDescent="0.25">
      <c r="C21" s="46"/>
      <c r="D21" s="45"/>
      <c r="E21" s="49"/>
      <c r="G21" s="59"/>
      <c r="H21" s="59"/>
      <c r="I21" s="59"/>
      <c r="J21" s="59"/>
      <c r="K21" s="59"/>
    </row>
    <row r="22" spans="3:11" x14ac:dyDescent="0.25">
      <c r="C22" s="46" t="s">
        <v>106</v>
      </c>
      <c r="D22" s="47" t="s">
        <v>109</v>
      </c>
      <c r="E22" s="48"/>
      <c r="G22" s="45" t="s">
        <v>131</v>
      </c>
    </row>
    <row r="23" spans="3:11" ht="9" customHeight="1" x14ac:dyDescent="0.25">
      <c r="C23" s="45"/>
      <c r="D23" s="45"/>
      <c r="E23" s="49"/>
    </row>
    <row r="24" spans="3:11" x14ac:dyDescent="0.25">
      <c r="C24" s="46" t="s">
        <v>110</v>
      </c>
      <c r="D24" s="47" t="s">
        <v>109</v>
      </c>
      <c r="E24" s="48"/>
    </row>
  </sheetData>
  <mergeCells count="3">
    <mergeCell ref="G6:K10"/>
    <mergeCell ref="H12:J14"/>
    <mergeCell ref="G19:K21"/>
  </mergeCells>
  <dataValidations count="3">
    <dataValidation type="decimal" allowBlank="1" showInputMessage="1" showErrorMessage="1" sqref="E16">
      <formula1>2</formula1>
      <formula2>50</formula2>
    </dataValidation>
    <dataValidation type="decimal" allowBlank="1" showInputMessage="1" showErrorMessage="1" sqref="E18">
      <formula1>0.2</formula1>
      <formula2>3</formula2>
    </dataValidation>
    <dataValidation type="decimal" allowBlank="1" showInputMessage="1" showErrorMessage="1" sqref="E24">
      <formula1>2</formula1>
      <formula2>15</formula2>
    </dataValidation>
  </dataValidations>
  <pageMargins left="0.7" right="0.7" top="0.75" bottom="0.75" header="0.3" footer="0.3"/>
  <pageSetup orientation="landscape" horizontalDpi="300" verticalDpi="300" r:id="rId1"/>
  <customProperties>
    <customPr name="DVSECTIONID" r:id="rId2"/>
  </customProperties>
  <ignoredErrors>
    <ignoredError sqref="H12" evalError="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Validation!H1:H2</xm:f>
          </x14:formula1>
          <xm:sqref>E6</xm:sqref>
        </x14:dataValidation>
        <x14:dataValidation type="list" allowBlank="1" showInputMessage="1" showErrorMessage="1">
          <x14:formula1>
            <xm:f>Validation!I1:I26</xm:f>
          </x14:formula1>
          <xm:sqref>E8</xm:sqref>
        </x14:dataValidation>
        <x14:dataValidation type="list" allowBlank="1" showInputMessage="1" showErrorMessage="1">
          <x14:formula1>
            <xm:f>Validation!D1:D3</xm:f>
          </x14:formula1>
          <xm:sqref>E10</xm:sqref>
        </x14:dataValidation>
        <x14:dataValidation type="list" allowBlank="1" showInputMessage="1" showErrorMessage="1">
          <x14:formula1>
            <xm:f>Validation!C1:C9</xm:f>
          </x14:formula1>
          <xm:sqref>E12</xm:sqref>
        </x14:dataValidation>
        <x14:dataValidation type="list" allowBlank="1" showInputMessage="1" showErrorMessage="1">
          <x14:formula1>
            <xm:f>Validation!A1:A5</xm:f>
          </x14:formula1>
          <xm:sqref>E14</xm:sqref>
        </x14:dataValidation>
        <x14:dataValidation type="list" allowBlank="1" showInputMessage="1" showErrorMessage="1">
          <x14:formula1>
            <xm:f>Validation!B1:B5</xm:f>
          </x14:formula1>
          <xm:sqref>E20</xm:sqref>
        </x14:dataValidation>
        <x14:dataValidation type="list" allowBlank="1" showInputMessage="1" showErrorMessage="1">
          <x14:formula1>
            <xm:f>Validation!E1:E7</xm:f>
          </x14:formula1>
          <xm:sqref>E22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6"/>
  <sheetViews>
    <sheetView workbookViewId="0">
      <selection activeCell="N6" sqref="N6"/>
    </sheetView>
  </sheetViews>
  <sheetFormatPr defaultRowHeight="15" x14ac:dyDescent="0.25"/>
  <sheetData>
    <row r="1" spans="1:256" x14ac:dyDescent="0.25">
      <c r="A1" t="e">
        <f>IF('Swimming Calculator'!1:1,"AAAAAH59awA=",0)</f>
        <v>#VALUE!</v>
      </c>
      <c r="B1" t="e">
        <f>AND('Swimming Calculator'!A1,"AAAAAH59awE=")</f>
        <v>#VALUE!</v>
      </c>
      <c r="C1" t="e">
        <f>AND('Swimming Calculator'!B1,"AAAAAH59awI=")</f>
        <v>#VALUE!</v>
      </c>
      <c r="D1" t="e">
        <f>AND('Swimming Calculator'!C1,"AAAAAH59awM=")</f>
        <v>#VALUE!</v>
      </c>
      <c r="E1" t="e">
        <f>AND('Swimming Calculator'!D1,"AAAAAH59awQ=")</f>
        <v>#VALUE!</v>
      </c>
      <c r="F1" t="e">
        <f>AND('Swimming Calculator'!E1,"AAAAAH59awU=")</f>
        <v>#VALUE!</v>
      </c>
      <c r="G1" t="e">
        <f>AND('Swimming Calculator'!F1,"AAAAAH59awY=")</f>
        <v>#VALUE!</v>
      </c>
      <c r="H1" t="e">
        <f>AND('Swimming Calculator'!G1,"AAAAAH59awc=")</f>
        <v>#VALUE!</v>
      </c>
      <c r="I1" t="e">
        <f>AND('Swimming Calculator'!H1,"AAAAAH59awg=")</f>
        <v>#VALUE!</v>
      </c>
      <c r="J1" t="e">
        <f>AND('Swimming Calculator'!I1,"AAAAAH59awk=")</f>
        <v>#VALUE!</v>
      </c>
      <c r="K1" t="e">
        <f>AND('Swimming Calculator'!J1,"AAAAAH59awo=")</f>
        <v>#VALUE!</v>
      </c>
      <c r="L1" t="e">
        <f>AND('Swimming Calculator'!K1,"AAAAAH59aws=")</f>
        <v>#VALUE!</v>
      </c>
      <c r="M1">
        <f>IF('Swimming Calculator'!2:2,"AAAAAH59aww=",0)</f>
        <v>0</v>
      </c>
      <c r="N1" t="e">
        <f>AND('Swimming Calculator'!A2,"AAAAAH59aw0=")</f>
        <v>#VALUE!</v>
      </c>
      <c r="O1" t="e">
        <f>AND('Swimming Calculator'!B2,"AAAAAH59aw4=")</f>
        <v>#VALUE!</v>
      </c>
      <c r="P1" t="e">
        <f>AND('Swimming Calculator'!C2,"AAAAAH59aw8=")</f>
        <v>#VALUE!</v>
      </c>
      <c r="Q1" t="e">
        <f>AND('Swimming Calculator'!D2,"AAAAAH59axA=")</f>
        <v>#VALUE!</v>
      </c>
      <c r="R1" t="e">
        <f>AND('Swimming Calculator'!E2,"AAAAAH59axE=")</f>
        <v>#VALUE!</v>
      </c>
      <c r="S1" t="e">
        <f>AND('Swimming Calculator'!F2,"AAAAAH59axI=")</f>
        <v>#VALUE!</v>
      </c>
      <c r="T1" t="e">
        <f>AND('Swimming Calculator'!G2,"AAAAAH59axM=")</f>
        <v>#VALUE!</v>
      </c>
      <c r="U1" t="e">
        <f>AND('Swimming Calculator'!H2,"AAAAAH59axQ=")</f>
        <v>#VALUE!</v>
      </c>
      <c r="V1" t="e">
        <f>AND('Swimming Calculator'!I2,"AAAAAH59axU=")</f>
        <v>#VALUE!</v>
      </c>
      <c r="W1" t="e">
        <f>AND('Swimming Calculator'!J2,"AAAAAH59axY=")</f>
        <v>#VALUE!</v>
      </c>
      <c r="X1" t="e">
        <f>AND('Swimming Calculator'!K2,"AAAAAH59axc=")</f>
        <v>#VALUE!</v>
      </c>
      <c r="Y1">
        <f>IF('Swimming Calculator'!3:3,"AAAAAH59axg=",0)</f>
        <v>0</v>
      </c>
      <c r="Z1" t="e">
        <f>AND('Swimming Calculator'!A3,"AAAAAH59axk=")</f>
        <v>#VALUE!</v>
      </c>
      <c r="AA1" t="e">
        <f>AND('Swimming Calculator'!B3,"AAAAAH59axo=")</f>
        <v>#VALUE!</v>
      </c>
      <c r="AB1" t="e">
        <f>AND('Swimming Calculator'!C3,"AAAAAH59axs=")</f>
        <v>#VALUE!</v>
      </c>
      <c r="AC1" t="e">
        <f>AND('Swimming Calculator'!D3,"AAAAAH59axw=")</f>
        <v>#VALUE!</v>
      </c>
      <c r="AD1" t="e">
        <f>AND('Swimming Calculator'!E3,"AAAAAH59ax0=")</f>
        <v>#VALUE!</v>
      </c>
      <c r="AE1" t="e">
        <f>AND('Swimming Calculator'!F3,"AAAAAH59ax4=")</f>
        <v>#VALUE!</v>
      </c>
      <c r="AF1" t="e">
        <f>AND('Swimming Calculator'!G3,"AAAAAH59ax8=")</f>
        <v>#VALUE!</v>
      </c>
      <c r="AG1" t="e">
        <f>AND('Swimming Calculator'!H3,"AAAAAH59ayA=")</f>
        <v>#VALUE!</v>
      </c>
      <c r="AH1" t="e">
        <f>AND('Swimming Calculator'!I3,"AAAAAH59ayE=")</f>
        <v>#VALUE!</v>
      </c>
      <c r="AI1" t="e">
        <f>AND('Swimming Calculator'!J3,"AAAAAH59ayI=")</f>
        <v>#VALUE!</v>
      </c>
      <c r="AJ1" t="e">
        <f>AND('Swimming Calculator'!K3,"AAAAAH59ayM=")</f>
        <v>#VALUE!</v>
      </c>
      <c r="AK1">
        <f>IF('Swimming Calculator'!4:4,"AAAAAH59ayQ=",0)</f>
        <v>0</v>
      </c>
      <c r="AL1" t="e">
        <f>AND('Swimming Calculator'!A4,"AAAAAH59ayU=")</f>
        <v>#VALUE!</v>
      </c>
      <c r="AM1" t="e">
        <f>AND('Swimming Calculator'!B4,"AAAAAH59ayY=")</f>
        <v>#VALUE!</v>
      </c>
      <c r="AN1" t="e">
        <f>AND('Swimming Calculator'!C4,"AAAAAH59ayc=")</f>
        <v>#VALUE!</v>
      </c>
      <c r="AO1" t="e">
        <f>AND('Swimming Calculator'!D4,"AAAAAH59ayg=")</f>
        <v>#VALUE!</v>
      </c>
      <c r="AP1" t="e">
        <f>AND('Swimming Calculator'!E4,"AAAAAH59ayk=")</f>
        <v>#VALUE!</v>
      </c>
      <c r="AQ1" t="e">
        <f>AND('Swimming Calculator'!F4,"AAAAAH59ayo=")</f>
        <v>#VALUE!</v>
      </c>
      <c r="AR1" t="e">
        <f>AND('Swimming Calculator'!G4,"AAAAAH59ays=")</f>
        <v>#VALUE!</v>
      </c>
      <c r="AS1" t="e">
        <f>AND('Swimming Calculator'!H4,"AAAAAH59ayw=")</f>
        <v>#VALUE!</v>
      </c>
      <c r="AT1" t="e">
        <f>AND('Swimming Calculator'!I4,"AAAAAH59ay0=")</f>
        <v>#VALUE!</v>
      </c>
      <c r="AU1" t="e">
        <f>AND('Swimming Calculator'!J4,"AAAAAH59ay4=")</f>
        <v>#VALUE!</v>
      </c>
      <c r="AV1" t="e">
        <f>AND('Swimming Calculator'!K4,"AAAAAH59ay8=")</f>
        <v>#VALUE!</v>
      </c>
      <c r="AW1">
        <f>IF('Swimming Calculator'!5:5,"AAAAAH59azA=",0)</f>
        <v>0</v>
      </c>
      <c r="AX1" t="e">
        <f>AND('Swimming Calculator'!A5,"AAAAAH59azE=")</f>
        <v>#VALUE!</v>
      </c>
      <c r="AY1" t="e">
        <f>AND('Swimming Calculator'!B5,"AAAAAH59azI=")</f>
        <v>#VALUE!</v>
      </c>
      <c r="AZ1" t="e">
        <f>AND('Swimming Calculator'!C5,"AAAAAH59azM=")</f>
        <v>#VALUE!</v>
      </c>
      <c r="BA1" t="e">
        <f>AND('Swimming Calculator'!D5,"AAAAAH59azQ=")</f>
        <v>#VALUE!</v>
      </c>
      <c r="BB1" t="e">
        <f>AND('Swimming Calculator'!E5,"AAAAAH59azU=")</f>
        <v>#VALUE!</v>
      </c>
      <c r="BC1" t="e">
        <f>AND('Swimming Calculator'!F5,"AAAAAH59azY=")</f>
        <v>#VALUE!</v>
      </c>
      <c r="BD1" t="e">
        <f>AND('Swimming Calculator'!G5,"AAAAAH59azc=")</f>
        <v>#VALUE!</v>
      </c>
      <c r="BE1" t="e">
        <f>AND('Swimming Calculator'!H5,"AAAAAH59azg=")</f>
        <v>#VALUE!</v>
      </c>
      <c r="BF1" t="e">
        <f>AND('Swimming Calculator'!I5,"AAAAAH59azk=")</f>
        <v>#VALUE!</v>
      </c>
      <c r="BG1" t="e">
        <f>AND('Swimming Calculator'!J5,"AAAAAH59azo=")</f>
        <v>#VALUE!</v>
      </c>
      <c r="BH1" t="e">
        <f>AND('Swimming Calculator'!K5,"AAAAAH59azs=")</f>
        <v>#VALUE!</v>
      </c>
      <c r="BI1">
        <f>IF('Swimming Calculator'!6:6,"AAAAAH59azw=",0)</f>
        <v>0</v>
      </c>
      <c r="BJ1" t="e">
        <f>AND('Swimming Calculator'!A6,"AAAAAH59az0=")</f>
        <v>#VALUE!</v>
      </c>
      <c r="BK1" t="e">
        <f>AND('Swimming Calculator'!B6,"AAAAAH59az4=")</f>
        <v>#VALUE!</v>
      </c>
      <c r="BL1" t="e">
        <f>AND('Swimming Calculator'!C6,"AAAAAH59az8=")</f>
        <v>#VALUE!</v>
      </c>
      <c r="BM1" t="e">
        <f>AND('Swimming Calculator'!D6,"AAAAAH59a0A=")</f>
        <v>#VALUE!</v>
      </c>
      <c r="BN1" t="e">
        <f>AND('Swimming Calculator'!E6,"AAAAAH59a0E=")</f>
        <v>#VALUE!</v>
      </c>
      <c r="BO1" t="e">
        <f>AND('Swimming Calculator'!F6,"AAAAAH59a0I=")</f>
        <v>#VALUE!</v>
      </c>
      <c r="BP1" t="e">
        <f>AND('Swimming Calculator'!G6,"AAAAAH59a0M=")</f>
        <v>#VALUE!</v>
      </c>
      <c r="BQ1" t="e">
        <f>AND('Swimming Calculator'!H6,"AAAAAH59a0Q=")</f>
        <v>#VALUE!</v>
      </c>
      <c r="BR1" t="e">
        <f>AND('Swimming Calculator'!I6,"AAAAAH59a0U=")</f>
        <v>#VALUE!</v>
      </c>
      <c r="BS1" t="e">
        <f>AND('Swimming Calculator'!J6,"AAAAAH59a0Y=")</f>
        <v>#VALUE!</v>
      </c>
      <c r="BT1" t="e">
        <f>AND('Swimming Calculator'!K6,"AAAAAH59a0c=")</f>
        <v>#VALUE!</v>
      </c>
      <c r="BU1">
        <f>IF('Swimming Calculator'!7:7,"AAAAAH59a0g=",0)</f>
        <v>0</v>
      </c>
      <c r="BV1" t="e">
        <f>AND('Swimming Calculator'!A7,"AAAAAH59a0k=")</f>
        <v>#VALUE!</v>
      </c>
      <c r="BW1" t="e">
        <f>AND('Swimming Calculator'!B7,"AAAAAH59a0o=")</f>
        <v>#VALUE!</v>
      </c>
      <c r="BX1" t="e">
        <f>AND('Swimming Calculator'!C7,"AAAAAH59a0s=")</f>
        <v>#VALUE!</v>
      </c>
      <c r="BY1" t="e">
        <f>AND('Swimming Calculator'!D7,"AAAAAH59a0w=")</f>
        <v>#VALUE!</v>
      </c>
      <c r="BZ1" t="e">
        <f>AND('Swimming Calculator'!E7,"AAAAAH59a00=")</f>
        <v>#VALUE!</v>
      </c>
      <c r="CA1" t="e">
        <f>AND('Swimming Calculator'!F7,"AAAAAH59a04=")</f>
        <v>#VALUE!</v>
      </c>
      <c r="CB1" t="e">
        <f>AND('Swimming Calculator'!G7,"AAAAAH59a08=")</f>
        <v>#VALUE!</v>
      </c>
      <c r="CC1" t="e">
        <f>AND('Swimming Calculator'!H7,"AAAAAH59a1A=")</f>
        <v>#VALUE!</v>
      </c>
      <c r="CD1" t="e">
        <f>AND('Swimming Calculator'!I7,"AAAAAH59a1E=")</f>
        <v>#VALUE!</v>
      </c>
      <c r="CE1" t="e">
        <f>AND('Swimming Calculator'!J7,"AAAAAH59a1I=")</f>
        <v>#VALUE!</v>
      </c>
      <c r="CF1" t="e">
        <f>AND('Swimming Calculator'!K7,"AAAAAH59a1M=")</f>
        <v>#VALUE!</v>
      </c>
      <c r="CG1">
        <f>IF('Swimming Calculator'!8:8,"AAAAAH59a1Q=",0)</f>
        <v>0</v>
      </c>
      <c r="CH1" t="e">
        <f>AND('Swimming Calculator'!A8,"AAAAAH59a1U=")</f>
        <v>#VALUE!</v>
      </c>
      <c r="CI1" t="e">
        <f>AND('Swimming Calculator'!B8,"AAAAAH59a1Y=")</f>
        <v>#VALUE!</v>
      </c>
      <c r="CJ1" t="e">
        <f>AND('Swimming Calculator'!C8,"AAAAAH59a1c=")</f>
        <v>#VALUE!</v>
      </c>
      <c r="CK1" t="e">
        <f>AND('Swimming Calculator'!D8,"AAAAAH59a1g=")</f>
        <v>#VALUE!</v>
      </c>
      <c r="CL1" t="e">
        <f>AND('Swimming Calculator'!E8,"AAAAAH59a1k=")</f>
        <v>#VALUE!</v>
      </c>
      <c r="CM1" t="e">
        <f>AND('Swimming Calculator'!F8,"AAAAAH59a1o=")</f>
        <v>#VALUE!</v>
      </c>
      <c r="CN1" t="e">
        <f>AND('Swimming Calculator'!G8,"AAAAAH59a1s=")</f>
        <v>#VALUE!</v>
      </c>
      <c r="CO1" t="e">
        <f>AND('Swimming Calculator'!H8,"AAAAAH59a1w=")</f>
        <v>#VALUE!</v>
      </c>
      <c r="CP1" t="e">
        <f>AND('Swimming Calculator'!I8,"AAAAAH59a10=")</f>
        <v>#VALUE!</v>
      </c>
      <c r="CQ1" t="e">
        <f>AND('Swimming Calculator'!J8,"AAAAAH59a14=")</f>
        <v>#VALUE!</v>
      </c>
      <c r="CR1" t="e">
        <f>AND('Swimming Calculator'!K8,"AAAAAH59a18=")</f>
        <v>#VALUE!</v>
      </c>
      <c r="CS1">
        <f>IF('Swimming Calculator'!9:9,"AAAAAH59a2A=",0)</f>
        <v>0</v>
      </c>
      <c r="CT1" t="e">
        <f>AND('Swimming Calculator'!A9,"AAAAAH59a2E=")</f>
        <v>#VALUE!</v>
      </c>
      <c r="CU1" t="e">
        <f>AND('Swimming Calculator'!B9,"AAAAAH59a2I=")</f>
        <v>#VALUE!</v>
      </c>
      <c r="CV1" t="e">
        <f>AND('Swimming Calculator'!C9,"AAAAAH59a2M=")</f>
        <v>#VALUE!</v>
      </c>
      <c r="CW1" t="e">
        <f>AND('Swimming Calculator'!D9,"AAAAAH59a2Q=")</f>
        <v>#VALUE!</v>
      </c>
      <c r="CX1" t="e">
        <f>AND('Swimming Calculator'!E9,"AAAAAH59a2U=")</f>
        <v>#VALUE!</v>
      </c>
      <c r="CY1" t="e">
        <f>AND('Swimming Calculator'!F9,"AAAAAH59a2Y=")</f>
        <v>#VALUE!</v>
      </c>
      <c r="CZ1" t="e">
        <f>AND('Swimming Calculator'!G9,"AAAAAH59a2c=")</f>
        <v>#VALUE!</v>
      </c>
      <c r="DA1" t="e">
        <f>AND('Swimming Calculator'!H9,"AAAAAH59a2g=")</f>
        <v>#VALUE!</v>
      </c>
      <c r="DB1" t="e">
        <f>AND('Swimming Calculator'!I9,"AAAAAH59a2k=")</f>
        <v>#VALUE!</v>
      </c>
      <c r="DC1" t="e">
        <f>AND('Swimming Calculator'!J9,"AAAAAH59a2o=")</f>
        <v>#VALUE!</v>
      </c>
      <c r="DD1" t="e">
        <f>AND('Swimming Calculator'!K9,"AAAAAH59a2s=")</f>
        <v>#VALUE!</v>
      </c>
      <c r="DE1">
        <f>IF('Swimming Calculator'!10:10,"AAAAAH59a2w=",0)</f>
        <v>0</v>
      </c>
      <c r="DF1" t="e">
        <f>AND('Swimming Calculator'!A10,"AAAAAH59a20=")</f>
        <v>#VALUE!</v>
      </c>
      <c r="DG1" t="e">
        <f>AND('Swimming Calculator'!B10,"AAAAAH59a24=")</f>
        <v>#VALUE!</v>
      </c>
      <c r="DH1" t="e">
        <f>AND('Swimming Calculator'!C10,"AAAAAH59a28=")</f>
        <v>#VALUE!</v>
      </c>
      <c r="DI1" t="e">
        <f>AND('Swimming Calculator'!D10,"AAAAAH59a3A=")</f>
        <v>#VALUE!</v>
      </c>
      <c r="DJ1" t="e">
        <f>AND('Swimming Calculator'!E10,"AAAAAH59a3E=")</f>
        <v>#VALUE!</v>
      </c>
      <c r="DK1" t="e">
        <f>AND('Swimming Calculator'!F10,"AAAAAH59a3I=")</f>
        <v>#VALUE!</v>
      </c>
      <c r="DL1" t="e">
        <f>AND('Swimming Calculator'!G10,"AAAAAH59a3M=")</f>
        <v>#VALUE!</v>
      </c>
      <c r="DM1" t="e">
        <f>AND('Swimming Calculator'!H10,"AAAAAH59a3Q=")</f>
        <v>#VALUE!</v>
      </c>
      <c r="DN1" t="e">
        <f>AND('Swimming Calculator'!I10,"AAAAAH59a3U=")</f>
        <v>#VALUE!</v>
      </c>
      <c r="DO1" t="e">
        <f>AND('Swimming Calculator'!J10,"AAAAAH59a3Y=")</f>
        <v>#VALUE!</v>
      </c>
      <c r="DP1" t="e">
        <f>AND('Swimming Calculator'!K10,"AAAAAH59a3c=")</f>
        <v>#VALUE!</v>
      </c>
      <c r="DQ1">
        <f>IF('Swimming Calculator'!11:11,"AAAAAH59a3g=",0)</f>
        <v>0</v>
      </c>
      <c r="DR1" t="e">
        <f>AND('Swimming Calculator'!A11,"AAAAAH59a3k=")</f>
        <v>#VALUE!</v>
      </c>
      <c r="DS1" t="e">
        <f>AND('Swimming Calculator'!B11,"AAAAAH59a3o=")</f>
        <v>#VALUE!</v>
      </c>
      <c r="DT1" t="e">
        <f>AND('Swimming Calculator'!C11,"AAAAAH59a3s=")</f>
        <v>#VALUE!</v>
      </c>
      <c r="DU1" t="e">
        <f>AND('Swimming Calculator'!D11,"AAAAAH59a3w=")</f>
        <v>#VALUE!</v>
      </c>
      <c r="DV1" t="e">
        <f>AND('Swimming Calculator'!E11,"AAAAAH59a30=")</f>
        <v>#VALUE!</v>
      </c>
      <c r="DW1" t="e">
        <f>AND('Swimming Calculator'!F11,"AAAAAH59a34=")</f>
        <v>#VALUE!</v>
      </c>
      <c r="DX1" t="e">
        <f>AND('Swimming Calculator'!G11,"AAAAAH59a38=")</f>
        <v>#VALUE!</v>
      </c>
      <c r="DY1" t="e">
        <f>AND('Swimming Calculator'!H11,"AAAAAH59a4A=")</f>
        <v>#VALUE!</v>
      </c>
      <c r="DZ1" t="e">
        <f>AND('Swimming Calculator'!I11,"AAAAAH59a4E=")</f>
        <v>#VALUE!</v>
      </c>
      <c r="EA1" t="e">
        <f>AND('Swimming Calculator'!J11,"AAAAAH59a4I=")</f>
        <v>#VALUE!</v>
      </c>
      <c r="EB1" t="e">
        <f>AND('Swimming Calculator'!K11,"AAAAAH59a4M=")</f>
        <v>#VALUE!</v>
      </c>
      <c r="EC1">
        <f>IF('Swimming Calculator'!12:12,"AAAAAH59a4Q=",0)</f>
        <v>0</v>
      </c>
      <c r="ED1" t="e">
        <f>AND('Swimming Calculator'!A12,"AAAAAH59a4U=")</f>
        <v>#VALUE!</v>
      </c>
      <c r="EE1" t="e">
        <f>AND('Swimming Calculator'!B12,"AAAAAH59a4Y=")</f>
        <v>#VALUE!</v>
      </c>
      <c r="EF1" t="e">
        <f>AND('Swimming Calculator'!C12,"AAAAAH59a4c=")</f>
        <v>#VALUE!</v>
      </c>
      <c r="EG1" t="e">
        <f>AND('Swimming Calculator'!D12,"AAAAAH59a4g=")</f>
        <v>#VALUE!</v>
      </c>
      <c r="EH1" t="e">
        <f>AND('Swimming Calculator'!E12,"AAAAAH59a4k=")</f>
        <v>#VALUE!</v>
      </c>
      <c r="EI1" t="e">
        <f>AND('Swimming Calculator'!F12,"AAAAAH59a4o=")</f>
        <v>#VALUE!</v>
      </c>
      <c r="EJ1" t="e">
        <f>AND('Swimming Calculator'!G12,"AAAAAH59a4s=")</f>
        <v>#VALUE!</v>
      </c>
      <c r="EK1" t="e">
        <f>AND('Swimming Calculator'!H12,"AAAAAH59a4w=")</f>
        <v>#VALUE!</v>
      </c>
      <c r="EL1" t="e">
        <f>AND('Swimming Calculator'!I12,"AAAAAH59a40=")</f>
        <v>#VALUE!</v>
      </c>
      <c r="EM1" t="e">
        <f>AND('Swimming Calculator'!J12,"AAAAAH59a44=")</f>
        <v>#VALUE!</v>
      </c>
      <c r="EN1" t="e">
        <f>AND('Swimming Calculator'!K12,"AAAAAH59a48=")</f>
        <v>#VALUE!</v>
      </c>
      <c r="EO1">
        <f>IF('Swimming Calculator'!13:13,"AAAAAH59a5A=",0)</f>
        <v>0</v>
      </c>
      <c r="EP1" t="e">
        <f>AND('Swimming Calculator'!A13,"AAAAAH59a5E=")</f>
        <v>#VALUE!</v>
      </c>
      <c r="EQ1" t="e">
        <f>AND('Swimming Calculator'!B13,"AAAAAH59a5I=")</f>
        <v>#VALUE!</v>
      </c>
      <c r="ER1" t="e">
        <f>AND('Swimming Calculator'!C13,"AAAAAH59a5M=")</f>
        <v>#VALUE!</v>
      </c>
      <c r="ES1" t="e">
        <f>AND('Swimming Calculator'!D13,"AAAAAH59a5Q=")</f>
        <v>#VALUE!</v>
      </c>
      <c r="ET1" t="e">
        <f>AND('Swimming Calculator'!E13,"AAAAAH59a5U=")</f>
        <v>#VALUE!</v>
      </c>
      <c r="EU1" t="e">
        <f>AND('Swimming Calculator'!F13,"AAAAAH59a5Y=")</f>
        <v>#VALUE!</v>
      </c>
      <c r="EV1" t="e">
        <f>AND('Swimming Calculator'!G13,"AAAAAH59a5c=")</f>
        <v>#VALUE!</v>
      </c>
      <c r="EW1" t="e">
        <f>AND('Swimming Calculator'!H13,"AAAAAH59a5g=")</f>
        <v>#VALUE!</v>
      </c>
      <c r="EX1" t="e">
        <f>AND('Swimming Calculator'!I13,"AAAAAH59a5k=")</f>
        <v>#VALUE!</v>
      </c>
      <c r="EY1" t="e">
        <f>AND('Swimming Calculator'!J13,"AAAAAH59a5o=")</f>
        <v>#VALUE!</v>
      </c>
      <c r="EZ1" t="e">
        <f>AND('Swimming Calculator'!K13,"AAAAAH59a5s=")</f>
        <v>#VALUE!</v>
      </c>
      <c r="FA1">
        <f>IF('Swimming Calculator'!14:14,"AAAAAH59a5w=",0)</f>
        <v>0</v>
      </c>
      <c r="FB1" t="e">
        <f>AND('Swimming Calculator'!A14,"AAAAAH59a50=")</f>
        <v>#VALUE!</v>
      </c>
      <c r="FC1" t="e">
        <f>AND('Swimming Calculator'!B14,"AAAAAH59a54=")</f>
        <v>#VALUE!</v>
      </c>
      <c r="FD1" t="e">
        <f>AND('Swimming Calculator'!C14,"AAAAAH59a58=")</f>
        <v>#VALUE!</v>
      </c>
      <c r="FE1" t="e">
        <f>AND('Swimming Calculator'!D14,"AAAAAH59a6A=")</f>
        <v>#VALUE!</v>
      </c>
      <c r="FF1" t="e">
        <f>AND('Swimming Calculator'!E14,"AAAAAH59a6E=")</f>
        <v>#VALUE!</v>
      </c>
      <c r="FG1" t="e">
        <f>AND('Swimming Calculator'!F14,"AAAAAH59a6I=")</f>
        <v>#VALUE!</v>
      </c>
      <c r="FH1" t="e">
        <f>AND('Swimming Calculator'!G14,"AAAAAH59a6M=")</f>
        <v>#VALUE!</v>
      </c>
      <c r="FI1" t="e">
        <f>AND('Swimming Calculator'!H14,"AAAAAH59a6Q=")</f>
        <v>#VALUE!</v>
      </c>
      <c r="FJ1" t="e">
        <f>AND('Swimming Calculator'!I14,"AAAAAH59a6U=")</f>
        <v>#VALUE!</v>
      </c>
      <c r="FK1" t="e">
        <f>AND('Swimming Calculator'!J14,"AAAAAH59a6Y=")</f>
        <v>#VALUE!</v>
      </c>
      <c r="FL1" t="e">
        <f>AND('Swimming Calculator'!K14,"AAAAAH59a6c=")</f>
        <v>#VALUE!</v>
      </c>
      <c r="FM1">
        <f>IF('Swimming Calculator'!15:15,"AAAAAH59a6g=",0)</f>
        <v>0</v>
      </c>
      <c r="FN1" t="e">
        <f>AND('Swimming Calculator'!A15,"AAAAAH59a6k=")</f>
        <v>#VALUE!</v>
      </c>
      <c r="FO1" t="e">
        <f>AND('Swimming Calculator'!B15,"AAAAAH59a6o=")</f>
        <v>#VALUE!</v>
      </c>
      <c r="FP1" t="e">
        <f>AND('Swimming Calculator'!C15,"AAAAAH59a6s=")</f>
        <v>#VALUE!</v>
      </c>
      <c r="FQ1" t="e">
        <f>AND('Swimming Calculator'!D15,"AAAAAH59a6w=")</f>
        <v>#VALUE!</v>
      </c>
      <c r="FR1" t="e">
        <f>AND('Swimming Calculator'!E15,"AAAAAH59a60=")</f>
        <v>#VALUE!</v>
      </c>
      <c r="FS1" t="e">
        <f>AND('Swimming Calculator'!F15,"AAAAAH59a64=")</f>
        <v>#VALUE!</v>
      </c>
      <c r="FT1" t="e">
        <f>AND('Swimming Calculator'!G15,"AAAAAH59a68=")</f>
        <v>#VALUE!</v>
      </c>
      <c r="FU1" t="e">
        <f>AND('Swimming Calculator'!H15,"AAAAAH59a7A=")</f>
        <v>#VALUE!</v>
      </c>
      <c r="FV1" t="e">
        <f>AND('Swimming Calculator'!I15,"AAAAAH59a7E=")</f>
        <v>#VALUE!</v>
      </c>
      <c r="FW1" t="e">
        <f>AND('Swimming Calculator'!J15,"AAAAAH59a7I=")</f>
        <v>#VALUE!</v>
      </c>
      <c r="FX1" t="e">
        <f>AND('Swimming Calculator'!K15,"AAAAAH59a7M=")</f>
        <v>#VALUE!</v>
      </c>
      <c r="FY1">
        <f>IF('Swimming Calculator'!16:16,"AAAAAH59a7Q=",0)</f>
        <v>0</v>
      </c>
      <c r="FZ1" t="e">
        <f>AND('Swimming Calculator'!A16,"AAAAAH59a7U=")</f>
        <v>#VALUE!</v>
      </c>
      <c r="GA1" t="e">
        <f>AND('Swimming Calculator'!B16,"AAAAAH59a7Y=")</f>
        <v>#VALUE!</v>
      </c>
      <c r="GB1" t="e">
        <f>AND('Swimming Calculator'!C16,"AAAAAH59a7c=")</f>
        <v>#VALUE!</v>
      </c>
      <c r="GC1" t="e">
        <f>AND('Swimming Calculator'!D16,"AAAAAH59a7g=")</f>
        <v>#VALUE!</v>
      </c>
      <c r="GD1" t="e">
        <f>AND('Swimming Calculator'!E16,"AAAAAH59a7k=")</f>
        <v>#VALUE!</v>
      </c>
      <c r="GE1" t="e">
        <f>AND('Swimming Calculator'!F16,"AAAAAH59a7o=")</f>
        <v>#VALUE!</v>
      </c>
      <c r="GF1" t="e">
        <f>AND('Swimming Calculator'!G16,"AAAAAH59a7s=")</f>
        <v>#VALUE!</v>
      </c>
      <c r="GG1" t="e">
        <f>AND('Swimming Calculator'!H16,"AAAAAH59a7w=")</f>
        <v>#VALUE!</v>
      </c>
      <c r="GH1" t="e">
        <f>AND('Swimming Calculator'!I16,"AAAAAH59a70=")</f>
        <v>#VALUE!</v>
      </c>
      <c r="GI1" t="e">
        <f>AND('Swimming Calculator'!J16,"AAAAAH59a74=")</f>
        <v>#VALUE!</v>
      </c>
      <c r="GJ1" t="e">
        <f>AND('Swimming Calculator'!K16,"AAAAAH59a78=")</f>
        <v>#VALUE!</v>
      </c>
      <c r="GK1">
        <f>IF('Swimming Calculator'!17:17,"AAAAAH59a8A=",0)</f>
        <v>0</v>
      </c>
      <c r="GL1" t="e">
        <f>AND('Swimming Calculator'!A17,"AAAAAH59a8E=")</f>
        <v>#VALUE!</v>
      </c>
      <c r="GM1" t="e">
        <f>AND('Swimming Calculator'!B17,"AAAAAH59a8I=")</f>
        <v>#VALUE!</v>
      </c>
      <c r="GN1" t="e">
        <f>AND('Swimming Calculator'!C17,"AAAAAH59a8M=")</f>
        <v>#VALUE!</v>
      </c>
      <c r="GO1" t="e">
        <f>AND('Swimming Calculator'!D17,"AAAAAH59a8Q=")</f>
        <v>#VALUE!</v>
      </c>
      <c r="GP1" t="e">
        <f>AND('Swimming Calculator'!E17,"AAAAAH59a8U=")</f>
        <v>#VALUE!</v>
      </c>
      <c r="GQ1" t="e">
        <f>AND('Swimming Calculator'!F17,"AAAAAH59a8Y=")</f>
        <v>#VALUE!</v>
      </c>
      <c r="GR1" t="e">
        <f>AND('Swimming Calculator'!G17,"AAAAAH59a8c=")</f>
        <v>#VALUE!</v>
      </c>
      <c r="GS1" t="e">
        <f>AND('Swimming Calculator'!H17,"AAAAAH59a8g=")</f>
        <v>#VALUE!</v>
      </c>
      <c r="GT1" t="e">
        <f>AND('Swimming Calculator'!I17,"AAAAAH59a8k=")</f>
        <v>#VALUE!</v>
      </c>
      <c r="GU1" t="e">
        <f>AND('Swimming Calculator'!J17,"AAAAAH59a8o=")</f>
        <v>#VALUE!</v>
      </c>
      <c r="GV1" t="e">
        <f>AND('Swimming Calculator'!K17,"AAAAAH59a8s=")</f>
        <v>#VALUE!</v>
      </c>
      <c r="GW1">
        <f>IF('Swimming Calculator'!18:18,"AAAAAH59a8w=",0)</f>
        <v>0</v>
      </c>
      <c r="GX1" t="e">
        <f>AND('Swimming Calculator'!A18,"AAAAAH59a80=")</f>
        <v>#VALUE!</v>
      </c>
      <c r="GY1" t="e">
        <f>AND('Swimming Calculator'!B18,"AAAAAH59a84=")</f>
        <v>#VALUE!</v>
      </c>
      <c r="GZ1" t="e">
        <f>AND('Swimming Calculator'!C18,"AAAAAH59a88=")</f>
        <v>#VALUE!</v>
      </c>
      <c r="HA1" t="e">
        <f>AND('Swimming Calculator'!D18,"AAAAAH59a9A=")</f>
        <v>#VALUE!</v>
      </c>
      <c r="HB1" t="e">
        <f>AND('Swimming Calculator'!E18,"AAAAAH59a9E=")</f>
        <v>#VALUE!</v>
      </c>
      <c r="HC1" t="e">
        <f>AND('Swimming Calculator'!F18,"AAAAAH59a9I=")</f>
        <v>#VALUE!</v>
      </c>
      <c r="HD1" t="e">
        <f>AND('Swimming Calculator'!G18,"AAAAAH59a9M=")</f>
        <v>#VALUE!</v>
      </c>
      <c r="HE1" t="e">
        <f>AND('Swimming Calculator'!H18,"AAAAAH59a9Q=")</f>
        <v>#VALUE!</v>
      </c>
      <c r="HF1" t="e">
        <f>AND('Swimming Calculator'!I18,"AAAAAH59a9U=")</f>
        <v>#VALUE!</v>
      </c>
      <c r="HG1" t="e">
        <f>AND('Swimming Calculator'!J18,"AAAAAH59a9Y=")</f>
        <v>#VALUE!</v>
      </c>
      <c r="HH1" t="e">
        <f>AND('Swimming Calculator'!K18,"AAAAAH59a9c=")</f>
        <v>#VALUE!</v>
      </c>
      <c r="HI1">
        <f>IF('Swimming Calculator'!19:19,"AAAAAH59a9g=",0)</f>
        <v>0</v>
      </c>
      <c r="HJ1" t="e">
        <f>AND('Swimming Calculator'!A19,"AAAAAH59a9k=")</f>
        <v>#VALUE!</v>
      </c>
      <c r="HK1" t="e">
        <f>AND('Swimming Calculator'!B19,"AAAAAH59a9o=")</f>
        <v>#VALUE!</v>
      </c>
      <c r="HL1" t="e">
        <f>AND('Swimming Calculator'!C19,"AAAAAH59a9s=")</f>
        <v>#VALUE!</v>
      </c>
      <c r="HM1" t="e">
        <f>AND('Swimming Calculator'!D19,"AAAAAH59a9w=")</f>
        <v>#VALUE!</v>
      </c>
      <c r="HN1" t="e">
        <f>AND('Swimming Calculator'!E19,"AAAAAH59a90=")</f>
        <v>#VALUE!</v>
      </c>
      <c r="HO1" t="e">
        <f>AND('Swimming Calculator'!F19,"AAAAAH59a94=")</f>
        <v>#VALUE!</v>
      </c>
      <c r="HP1" t="e">
        <f>AND('Swimming Calculator'!G19,"AAAAAH59a98=")</f>
        <v>#VALUE!</v>
      </c>
      <c r="HQ1" t="e">
        <f>AND('Swimming Calculator'!H19,"AAAAAH59a+A=")</f>
        <v>#VALUE!</v>
      </c>
      <c r="HR1" t="e">
        <f>AND('Swimming Calculator'!I19,"AAAAAH59a+E=")</f>
        <v>#VALUE!</v>
      </c>
      <c r="HS1" t="e">
        <f>AND('Swimming Calculator'!J19,"AAAAAH59a+I=")</f>
        <v>#VALUE!</v>
      </c>
      <c r="HT1" t="e">
        <f>AND('Swimming Calculator'!K19,"AAAAAH59a+M=")</f>
        <v>#VALUE!</v>
      </c>
      <c r="HU1">
        <f>IF('Swimming Calculator'!20:20,"AAAAAH59a+Q=",0)</f>
        <v>0</v>
      </c>
      <c r="HV1" t="e">
        <f>AND('Swimming Calculator'!A20,"AAAAAH59a+U=")</f>
        <v>#VALUE!</v>
      </c>
      <c r="HW1" t="e">
        <f>AND('Swimming Calculator'!B20,"AAAAAH59a+Y=")</f>
        <v>#VALUE!</v>
      </c>
      <c r="HX1" t="e">
        <f>AND('Swimming Calculator'!C20,"AAAAAH59a+c=")</f>
        <v>#VALUE!</v>
      </c>
      <c r="HY1" t="e">
        <f>AND('Swimming Calculator'!D20,"AAAAAH59a+g=")</f>
        <v>#VALUE!</v>
      </c>
      <c r="HZ1" t="e">
        <f>AND('Swimming Calculator'!E20,"AAAAAH59a+k=")</f>
        <v>#VALUE!</v>
      </c>
      <c r="IA1" t="e">
        <f>AND('Swimming Calculator'!F20,"AAAAAH59a+o=")</f>
        <v>#VALUE!</v>
      </c>
      <c r="IB1" t="e">
        <f>AND('Swimming Calculator'!G20,"AAAAAH59a+s=")</f>
        <v>#VALUE!</v>
      </c>
      <c r="IC1" t="e">
        <f>AND('Swimming Calculator'!H20,"AAAAAH59a+w=")</f>
        <v>#VALUE!</v>
      </c>
      <c r="ID1" t="e">
        <f>AND('Swimming Calculator'!I20,"AAAAAH59a+0=")</f>
        <v>#VALUE!</v>
      </c>
      <c r="IE1" t="e">
        <f>AND('Swimming Calculator'!J20,"AAAAAH59a+4=")</f>
        <v>#VALUE!</v>
      </c>
      <c r="IF1" t="e">
        <f>AND('Swimming Calculator'!K20,"AAAAAH59a+8=")</f>
        <v>#VALUE!</v>
      </c>
      <c r="IG1">
        <f>IF('Swimming Calculator'!21:21,"AAAAAH59a/A=",0)</f>
        <v>0</v>
      </c>
      <c r="IH1" t="e">
        <f>AND('Swimming Calculator'!A21,"AAAAAH59a/E=")</f>
        <v>#VALUE!</v>
      </c>
      <c r="II1" t="e">
        <f>AND('Swimming Calculator'!B21,"AAAAAH59a/I=")</f>
        <v>#VALUE!</v>
      </c>
      <c r="IJ1" t="e">
        <f>AND('Swimming Calculator'!C21,"AAAAAH59a/M=")</f>
        <v>#VALUE!</v>
      </c>
      <c r="IK1" t="e">
        <f>AND('Swimming Calculator'!D21,"AAAAAH59a/Q=")</f>
        <v>#VALUE!</v>
      </c>
      <c r="IL1" t="e">
        <f>AND('Swimming Calculator'!E21,"AAAAAH59a/U=")</f>
        <v>#VALUE!</v>
      </c>
      <c r="IM1" t="e">
        <f>AND('Swimming Calculator'!F21,"AAAAAH59a/Y=")</f>
        <v>#VALUE!</v>
      </c>
      <c r="IN1" t="e">
        <f>AND('Swimming Calculator'!G21,"AAAAAH59a/c=")</f>
        <v>#VALUE!</v>
      </c>
      <c r="IO1" t="e">
        <f>AND('Swimming Calculator'!H21,"AAAAAH59a/g=")</f>
        <v>#VALUE!</v>
      </c>
      <c r="IP1" t="e">
        <f>AND('Swimming Calculator'!I21,"AAAAAH59a/k=")</f>
        <v>#VALUE!</v>
      </c>
      <c r="IQ1" t="e">
        <f>AND('Swimming Calculator'!J21,"AAAAAH59a/o=")</f>
        <v>#VALUE!</v>
      </c>
      <c r="IR1" t="e">
        <f>AND('Swimming Calculator'!K21,"AAAAAH59a/s=")</f>
        <v>#VALUE!</v>
      </c>
      <c r="IS1">
        <f>IF('Swimming Calculator'!22:22,"AAAAAH59a/w=",0)</f>
        <v>0</v>
      </c>
      <c r="IT1" t="e">
        <f>AND('Swimming Calculator'!A22,"AAAAAH59a/0=")</f>
        <v>#VALUE!</v>
      </c>
      <c r="IU1" t="e">
        <f>AND('Swimming Calculator'!B22,"AAAAAH59a/4=")</f>
        <v>#VALUE!</v>
      </c>
      <c r="IV1" t="e">
        <f>AND('Swimming Calculator'!C22,"AAAAAH59a/8=")</f>
        <v>#VALUE!</v>
      </c>
    </row>
    <row r="2" spans="1:256" x14ac:dyDescent="0.25">
      <c r="A2" t="e">
        <f>AND('Swimming Calculator'!D22,"AAAAACvrxgA=")</f>
        <v>#VALUE!</v>
      </c>
      <c r="B2" t="e">
        <f>AND('Swimming Calculator'!E22,"AAAAACvrxgE=")</f>
        <v>#VALUE!</v>
      </c>
      <c r="C2" t="e">
        <f>AND('Swimming Calculator'!F22,"AAAAACvrxgI=")</f>
        <v>#VALUE!</v>
      </c>
      <c r="D2" t="e">
        <f>AND('Swimming Calculator'!G22,"AAAAACvrxgM=")</f>
        <v>#VALUE!</v>
      </c>
      <c r="E2" t="e">
        <f>AND('Swimming Calculator'!H22,"AAAAACvrxgQ=")</f>
        <v>#VALUE!</v>
      </c>
      <c r="F2" t="e">
        <f>AND('Swimming Calculator'!I22,"AAAAACvrxgU=")</f>
        <v>#VALUE!</v>
      </c>
      <c r="G2" t="e">
        <f>AND('Swimming Calculator'!J22,"AAAAACvrxgY=")</f>
        <v>#VALUE!</v>
      </c>
      <c r="H2" t="e">
        <f>AND('Swimming Calculator'!K22,"AAAAACvrxgc=")</f>
        <v>#VALUE!</v>
      </c>
      <c r="I2">
        <f>IF('Swimming Calculator'!23:23,"AAAAACvrxgg=",0)</f>
        <v>0</v>
      </c>
      <c r="J2" t="e">
        <f>AND('Swimming Calculator'!A23,"AAAAACvrxgk=")</f>
        <v>#VALUE!</v>
      </c>
      <c r="K2" t="e">
        <f>AND('Swimming Calculator'!B23,"AAAAACvrxgo=")</f>
        <v>#VALUE!</v>
      </c>
      <c r="L2" t="e">
        <f>AND('Swimming Calculator'!C23,"AAAAACvrxgs=")</f>
        <v>#VALUE!</v>
      </c>
      <c r="M2" t="e">
        <f>AND('Swimming Calculator'!D23,"AAAAACvrxgw=")</f>
        <v>#VALUE!</v>
      </c>
      <c r="N2" t="e">
        <f>AND('Swimming Calculator'!E23,"AAAAACvrxg0=")</f>
        <v>#VALUE!</v>
      </c>
      <c r="O2">
        <f>IF('Swimming Calculator'!24:24,"AAAAACvrxg4=",0)</f>
        <v>0</v>
      </c>
      <c r="P2" t="e">
        <f>AND('Swimming Calculator'!A24,"AAAAACvrxg8=")</f>
        <v>#VALUE!</v>
      </c>
      <c r="Q2" t="e">
        <f>AND('Swimming Calculator'!B24,"AAAAACvrxhA=")</f>
        <v>#VALUE!</v>
      </c>
      <c r="R2" t="e">
        <f>AND('Swimming Calculator'!C24,"AAAAACvrxhE=")</f>
        <v>#VALUE!</v>
      </c>
      <c r="S2" t="e">
        <f>AND('Swimming Calculator'!D24,"AAAAACvrxhI=")</f>
        <v>#VALUE!</v>
      </c>
      <c r="T2" t="e">
        <f>AND('Swimming Calculator'!E24,"AAAAACvrxhM=")</f>
        <v>#VALUE!</v>
      </c>
      <c r="U2">
        <f>IF('Swimming Calculator'!A:A,"AAAAACvrxhQ=",0)</f>
        <v>0</v>
      </c>
      <c r="V2" t="e">
        <f>IF('Swimming Calculator'!B:B,"AAAAACvrxhU=",0)</f>
        <v>#VALUE!</v>
      </c>
      <c r="W2">
        <f>IF('Swimming Calculator'!C:C,"AAAAACvrxhY=",0)</f>
        <v>0</v>
      </c>
      <c r="X2">
        <f>IF('Swimming Calculator'!D:D,"AAAAACvrxhc=",0)</f>
        <v>0</v>
      </c>
      <c r="Y2">
        <f>IF('Swimming Calculator'!E:E,"AAAAACvrxhg=",0)</f>
        <v>0</v>
      </c>
      <c r="Z2">
        <f>IF('Swimming Calculator'!F:F,"AAAAACvrxhk=",0)</f>
        <v>0</v>
      </c>
      <c r="AA2">
        <f>IF('Swimming Calculator'!G:G,"AAAAACvrxho=",0)</f>
        <v>0</v>
      </c>
      <c r="AB2">
        <f>IF('Swimming Calculator'!H:H,"AAAAACvrxhs=",0)</f>
        <v>0</v>
      </c>
      <c r="AC2">
        <f>IF('Swimming Calculator'!I:I,"AAAAACvrxhw=",0)</f>
        <v>0</v>
      </c>
      <c r="AD2">
        <f>IF('Swimming Calculator'!J:J,"AAAAACvrxh0=",0)</f>
        <v>0</v>
      </c>
      <c r="AE2">
        <f>IF('Swimming Calculator'!K:K,"AAAAACvrxh4=",0)</f>
        <v>0</v>
      </c>
      <c r="AF2" t="e">
        <f>IF(Stats!1:1,"AAAAACvrxh8=",0)</f>
        <v>#VALUE!</v>
      </c>
      <c r="AG2" t="e">
        <f>AND(Stats!A1,"AAAAACvrxiA=")</f>
        <v>#VALUE!</v>
      </c>
      <c r="AH2" t="e">
        <f>AND(Stats!B1,"AAAAACvrxiE=")</f>
        <v>#VALUE!</v>
      </c>
      <c r="AI2" t="e">
        <f>AND(Stats!C1,"AAAAACvrxiI=")</f>
        <v>#VALUE!</v>
      </c>
      <c r="AJ2" t="e">
        <f>AND(Stats!D1,"AAAAACvrxiM=")</f>
        <v>#VALUE!</v>
      </c>
      <c r="AK2" t="e">
        <f>AND(Stats!E1,"AAAAACvrxiQ=")</f>
        <v>#VALUE!</v>
      </c>
      <c r="AL2" t="e">
        <f>AND(Stats!F1,"AAAAACvrxiU=")</f>
        <v>#VALUE!</v>
      </c>
      <c r="AM2" t="e">
        <f>AND(Stats!G1,"AAAAACvrxiY=")</f>
        <v>#VALUE!</v>
      </c>
      <c r="AN2" t="e">
        <f>AND(Stats!H1,"AAAAACvrxic=")</f>
        <v>#VALUE!</v>
      </c>
      <c r="AO2" t="e">
        <f>AND(Stats!I1,"AAAAACvrxig=")</f>
        <v>#VALUE!</v>
      </c>
      <c r="AP2" t="e">
        <f>AND(Stats!J1,"AAAAACvrxik=")</f>
        <v>#VALUE!</v>
      </c>
      <c r="AQ2" t="e">
        <f>AND(Stats!K1,"AAAAACvrxio=")</f>
        <v>#VALUE!</v>
      </c>
      <c r="AR2" t="e">
        <f>AND(Stats!L1,"AAAAACvrxis=")</f>
        <v>#VALUE!</v>
      </c>
      <c r="AS2" t="e">
        <f>AND(Stats!M1,"AAAAACvrxiw=")</f>
        <v>#VALUE!</v>
      </c>
      <c r="AT2" t="e">
        <f>AND(Stats!N1,"AAAAACvrxi0=")</f>
        <v>#VALUE!</v>
      </c>
      <c r="AU2" t="e">
        <f>AND(Stats!O1,"AAAAACvrxi4=")</f>
        <v>#VALUE!</v>
      </c>
      <c r="AV2" t="e">
        <f>AND(Stats!P1,"AAAAACvrxi8=")</f>
        <v>#VALUE!</v>
      </c>
      <c r="AW2" t="e">
        <f>AND(Stats!Q1,"AAAAACvrxjA=")</f>
        <v>#VALUE!</v>
      </c>
      <c r="AX2" t="e">
        <f>AND(Stats!R1,"AAAAACvrxjE=")</f>
        <v>#VALUE!</v>
      </c>
      <c r="AY2" t="e">
        <f>AND(Stats!S1,"AAAAACvrxjI=")</f>
        <v>#VALUE!</v>
      </c>
      <c r="AZ2" t="e">
        <f>AND(Stats!T1,"AAAAACvrxjM=")</f>
        <v>#VALUE!</v>
      </c>
      <c r="BA2" t="e">
        <f>AND(Stats!U1,"AAAAACvrxjQ=")</f>
        <v>#VALUE!</v>
      </c>
      <c r="BB2" t="e">
        <f>AND(Stats!V1,"AAAAACvrxjU=")</f>
        <v>#VALUE!</v>
      </c>
      <c r="BC2" t="e">
        <f>AND(Stats!W1,"AAAAACvrxjY=")</f>
        <v>#VALUE!</v>
      </c>
      <c r="BD2" t="e">
        <f>AND(Stats!X1,"AAAAACvrxjc=")</f>
        <v>#VALUE!</v>
      </c>
      <c r="BE2" t="e">
        <f>AND(Stats!Y1,"AAAAACvrxjg=")</f>
        <v>#VALUE!</v>
      </c>
      <c r="BF2" t="e">
        <f>AND(Stats!Z1,"AAAAACvrxjk=")</f>
        <v>#VALUE!</v>
      </c>
      <c r="BG2" t="e">
        <f>AND(Stats!AA1,"AAAAACvrxjo=")</f>
        <v>#VALUE!</v>
      </c>
      <c r="BH2" t="e">
        <f>AND(Stats!AB1,"AAAAACvrxjs=")</f>
        <v>#VALUE!</v>
      </c>
      <c r="BI2" t="e">
        <f>AND(Stats!AC1,"AAAAACvrxjw=")</f>
        <v>#VALUE!</v>
      </c>
      <c r="BJ2" t="e">
        <f>AND(Stats!AD1,"AAAAACvrxj0=")</f>
        <v>#VALUE!</v>
      </c>
      <c r="BK2" t="e">
        <f>AND(Stats!AE1,"AAAAACvrxj4=")</f>
        <v>#VALUE!</v>
      </c>
      <c r="BL2" t="e">
        <f>AND(Stats!AF1,"AAAAACvrxj8=")</f>
        <v>#VALUE!</v>
      </c>
      <c r="BM2" t="e">
        <f>AND(Stats!AG1,"AAAAACvrxkA=")</f>
        <v>#VALUE!</v>
      </c>
      <c r="BN2" t="e">
        <f>AND(Stats!AH1,"AAAAACvrxkE=")</f>
        <v>#VALUE!</v>
      </c>
      <c r="BO2" t="e">
        <f>AND(Stats!AI1,"AAAAACvrxkI=")</f>
        <v>#VALUE!</v>
      </c>
      <c r="BP2" t="e">
        <f>AND(Stats!AJ1,"AAAAACvrxkM=")</f>
        <v>#VALUE!</v>
      </c>
      <c r="BQ2" t="e">
        <f>AND(Stats!AK1,"AAAAACvrxkQ=")</f>
        <v>#VALUE!</v>
      </c>
      <c r="BR2" t="e">
        <f>AND(Stats!AL1,"AAAAACvrxkU=")</f>
        <v>#VALUE!</v>
      </c>
      <c r="BS2" t="e">
        <f>AND(Stats!AM1,"AAAAACvrxkY=")</f>
        <v>#VALUE!</v>
      </c>
      <c r="BT2" t="e">
        <f>AND(Stats!AN1,"AAAAACvrxkc=")</f>
        <v>#VALUE!</v>
      </c>
      <c r="BU2" t="e">
        <f>AND(Stats!AO1,"AAAAACvrxkg=")</f>
        <v>#VALUE!</v>
      </c>
      <c r="BV2" t="e">
        <f>AND(Stats!AP1,"AAAAACvrxkk=")</f>
        <v>#VALUE!</v>
      </c>
      <c r="BW2" t="e">
        <f>AND(Stats!AQ1,"AAAAACvrxko=")</f>
        <v>#VALUE!</v>
      </c>
      <c r="BX2" t="e">
        <f>AND(Stats!AR1,"AAAAACvrxks=")</f>
        <v>#VALUE!</v>
      </c>
      <c r="BY2" t="e">
        <f>AND(Stats!AS1,"AAAAACvrxkw=")</f>
        <v>#VALUE!</v>
      </c>
      <c r="BZ2" t="e">
        <f>AND(Stats!AT1,"AAAAACvrxk0=")</f>
        <v>#VALUE!</v>
      </c>
      <c r="CA2" t="e">
        <f>AND(Stats!AU1,"AAAAACvrxk4=")</f>
        <v>#VALUE!</v>
      </c>
      <c r="CB2" t="e">
        <f>AND(Stats!AV1,"AAAAACvrxk8=")</f>
        <v>#VALUE!</v>
      </c>
      <c r="CC2" t="e">
        <f>AND(Stats!AW1,"AAAAACvrxlA=")</f>
        <v>#VALUE!</v>
      </c>
      <c r="CD2" t="e">
        <f>AND(Stats!AX1,"AAAAACvrxlE=")</f>
        <v>#VALUE!</v>
      </c>
      <c r="CE2" t="e">
        <f>AND(Stats!AY1,"AAAAACvrxlI=")</f>
        <v>#VALUE!</v>
      </c>
      <c r="CF2" t="e">
        <f>AND(Stats!AZ1,"AAAAACvrxlM=")</f>
        <v>#VALUE!</v>
      </c>
      <c r="CG2" t="e">
        <f>AND(Stats!BA1,"AAAAACvrxlQ=")</f>
        <v>#VALUE!</v>
      </c>
      <c r="CH2" t="e">
        <f>AND(Stats!BB1,"AAAAACvrxlU=")</f>
        <v>#VALUE!</v>
      </c>
      <c r="CI2" t="e">
        <f>AND(Stats!BC1,"AAAAACvrxlY=")</f>
        <v>#VALUE!</v>
      </c>
      <c r="CJ2" t="e">
        <f>AND(Stats!BD1,"AAAAACvrxlc=")</f>
        <v>#VALUE!</v>
      </c>
      <c r="CK2" t="e">
        <f>AND(Stats!BE1,"AAAAACvrxlg=")</f>
        <v>#VALUE!</v>
      </c>
      <c r="CL2" t="e">
        <f>AND(Stats!BF1,"AAAAACvrxlk=")</f>
        <v>#VALUE!</v>
      </c>
      <c r="CM2" t="e">
        <f>AND(Stats!BG1,"AAAAACvrxlo=")</f>
        <v>#VALUE!</v>
      </c>
      <c r="CN2" t="e">
        <f>AND(Stats!BH1,"AAAAACvrxls=")</f>
        <v>#VALUE!</v>
      </c>
      <c r="CO2" t="e">
        <f>AND(Stats!BI1,"AAAAACvrxlw=")</f>
        <v>#VALUE!</v>
      </c>
      <c r="CP2" t="e">
        <f>AND(Stats!BJ1,"AAAAACvrxl0=")</f>
        <v>#VALUE!</v>
      </c>
      <c r="CQ2" t="e">
        <f>AND(Stats!BK1,"AAAAACvrxl4=")</f>
        <v>#VALUE!</v>
      </c>
      <c r="CR2" t="e">
        <f>AND(Stats!BL1,"AAAAACvrxl8=")</f>
        <v>#VALUE!</v>
      </c>
      <c r="CS2" t="e">
        <f>AND(Stats!BM1,"AAAAACvrxmA=")</f>
        <v>#VALUE!</v>
      </c>
      <c r="CT2" t="e">
        <f>AND(Stats!BN1,"AAAAACvrxmE=")</f>
        <v>#VALUE!</v>
      </c>
      <c r="CU2" t="e">
        <f>AND(Stats!BO1,"AAAAACvrxmI=")</f>
        <v>#VALUE!</v>
      </c>
      <c r="CV2" t="e">
        <f>AND(Stats!BP1,"AAAAACvrxmM=")</f>
        <v>#VALUE!</v>
      </c>
      <c r="CW2" t="e">
        <f>AND(Stats!BQ1,"AAAAACvrxmQ=")</f>
        <v>#VALUE!</v>
      </c>
      <c r="CX2" t="e">
        <f>AND(Stats!BR1,"AAAAACvrxmU=")</f>
        <v>#VALUE!</v>
      </c>
      <c r="CY2" t="e">
        <f>AND(Stats!BS1,"AAAAACvrxmY=")</f>
        <v>#VALUE!</v>
      </c>
      <c r="CZ2" t="e">
        <f>AND(Stats!BT1,"AAAAACvrxmc=")</f>
        <v>#VALUE!</v>
      </c>
      <c r="DA2" t="e">
        <f>AND(Stats!BU1,"AAAAACvrxmg=")</f>
        <v>#VALUE!</v>
      </c>
      <c r="DB2" t="e">
        <f>AND(Stats!BV1,"AAAAACvrxmk=")</f>
        <v>#VALUE!</v>
      </c>
      <c r="DC2" t="e">
        <f>AND(Stats!BW1,"AAAAACvrxmo=")</f>
        <v>#VALUE!</v>
      </c>
      <c r="DD2" t="e">
        <f>AND(Stats!BX1,"AAAAACvrxms=")</f>
        <v>#VALUE!</v>
      </c>
      <c r="DE2" t="e">
        <f>AND(Stats!BY1,"AAAAACvrxmw=")</f>
        <v>#VALUE!</v>
      </c>
      <c r="DF2" t="e">
        <f>AND(Stats!BZ1,"AAAAACvrxm0=")</f>
        <v>#VALUE!</v>
      </c>
      <c r="DG2" t="e">
        <f>AND(Stats!CA1,"AAAAACvrxm4=")</f>
        <v>#VALUE!</v>
      </c>
      <c r="DH2" t="e">
        <f>AND(Stats!CB1,"AAAAACvrxm8=")</f>
        <v>#VALUE!</v>
      </c>
      <c r="DI2" t="e">
        <f>AND(Stats!CC1,"AAAAACvrxnA=")</f>
        <v>#VALUE!</v>
      </c>
      <c r="DJ2" t="e">
        <f>AND(Stats!CD1,"AAAAACvrxnE=")</f>
        <v>#VALUE!</v>
      </c>
      <c r="DK2" t="e">
        <f>AND(Stats!CE1,"AAAAACvrxnI=")</f>
        <v>#VALUE!</v>
      </c>
      <c r="DL2" t="e">
        <f>AND(Stats!CF1,"AAAAACvrxnM=")</f>
        <v>#VALUE!</v>
      </c>
      <c r="DM2" t="e">
        <f>AND(Stats!CG1,"AAAAACvrxnQ=")</f>
        <v>#VALUE!</v>
      </c>
      <c r="DN2" t="e">
        <f>AND(Stats!CH1,"AAAAACvrxnU=")</f>
        <v>#VALUE!</v>
      </c>
      <c r="DO2" t="e">
        <f>AND(Stats!CI1,"AAAAACvrxnY=")</f>
        <v>#VALUE!</v>
      </c>
      <c r="DP2">
        <f>IF(Stats!2:2,"AAAAACvrxnc=",0)</f>
        <v>0</v>
      </c>
      <c r="DQ2" t="e">
        <f>AND(Stats!A2,"AAAAACvrxng=")</f>
        <v>#VALUE!</v>
      </c>
      <c r="DR2" t="e">
        <f>AND(Stats!B2,"AAAAACvrxnk=")</f>
        <v>#VALUE!</v>
      </c>
      <c r="DS2" t="e">
        <f>AND(Stats!C2,"AAAAACvrxno=")</f>
        <v>#VALUE!</v>
      </c>
      <c r="DT2" t="e">
        <f>AND(Stats!D2,"AAAAACvrxns=")</f>
        <v>#VALUE!</v>
      </c>
      <c r="DU2" t="e">
        <f>AND(Stats!E2,"AAAAACvrxnw=")</f>
        <v>#VALUE!</v>
      </c>
      <c r="DV2" t="e">
        <f>AND(Stats!F2,"AAAAACvrxn0=")</f>
        <v>#VALUE!</v>
      </c>
      <c r="DW2" t="e">
        <f>AND(Stats!G2,"AAAAACvrxn4=")</f>
        <v>#VALUE!</v>
      </c>
      <c r="DX2" t="e">
        <f>AND(Stats!H2,"AAAAACvrxn8=")</f>
        <v>#VALUE!</v>
      </c>
      <c r="DY2" t="e">
        <f>AND(Stats!I2,"AAAAACvrxoA=")</f>
        <v>#VALUE!</v>
      </c>
      <c r="DZ2" t="e">
        <f>AND(Stats!J2,"AAAAACvrxoE=")</f>
        <v>#VALUE!</v>
      </c>
      <c r="EA2" t="e">
        <f>AND(Stats!K2,"AAAAACvrxoI=")</f>
        <v>#VALUE!</v>
      </c>
      <c r="EB2" t="e">
        <f>AND(Stats!L2,"AAAAACvrxoM=")</f>
        <v>#VALUE!</v>
      </c>
      <c r="EC2" t="e">
        <f>AND(Stats!M2,"AAAAACvrxoQ=")</f>
        <v>#VALUE!</v>
      </c>
      <c r="ED2" t="e">
        <f>AND(Stats!N2,"AAAAACvrxoU=")</f>
        <v>#VALUE!</v>
      </c>
      <c r="EE2" t="e">
        <f>AND(Stats!O2,"AAAAACvrxoY=")</f>
        <v>#VALUE!</v>
      </c>
      <c r="EF2" t="e">
        <f>AND(Stats!P2,"AAAAACvrxoc=")</f>
        <v>#VALUE!</v>
      </c>
      <c r="EG2" t="e">
        <f>AND(Stats!Q2,"AAAAACvrxog=")</f>
        <v>#VALUE!</v>
      </c>
      <c r="EH2" t="e">
        <f>AND(Stats!R2,"AAAAACvrxok=")</f>
        <v>#VALUE!</v>
      </c>
      <c r="EI2" t="e">
        <f>AND(Stats!S2,"AAAAACvrxoo=")</f>
        <v>#VALUE!</v>
      </c>
      <c r="EJ2" t="e">
        <f>AND(Stats!T2,"AAAAACvrxos=")</f>
        <v>#VALUE!</v>
      </c>
      <c r="EK2" t="e">
        <f>AND(Stats!U2,"AAAAACvrxow=")</f>
        <v>#VALUE!</v>
      </c>
      <c r="EL2" t="e">
        <f>AND(Stats!V2,"AAAAACvrxo0=")</f>
        <v>#VALUE!</v>
      </c>
      <c r="EM2" t="e">
        <f>AND(Stats!W2,"AAAAACvrxo4=")</f>
        <v>#VALUE!</v>
      </c>
      <c r="EN2" t="e">
        <f>AND(Stats!X2,"AAAAACvrxo8=")</f>
        <v>#VALUE!</v>
      </c>
      <c r="EO2" t="e">
        <f>AND(Stats!Y2,"AAAAACvrxpA=")</f>
        <v>#VALUE!</v>
      </c>
      <c r="EP2" t="e">
        <f>AND(Stats!Z2,"AAAAACvrxpE=")</f>
        <v>#VALUE!</v>
      </c>
      <c r="EQ2" t="e">
        <f>AND(Stats!AA2,"AAAAACvrxpI=")</f>
        <v>#VALUE!</v>
      </c>
      <c r="ER2" t="e">
        <f>AND(Stats!AB2,"AAAAACvrxpM=")</f>
        <v>#VALUE!</v>
      </c>
      <c r="ES2" t="e">
        <f>AND(Stats!AC2,"AAAAACvrxpQ=")</f>
        <v>#VALUE!</v>
      </c>
      <c r="ET2" t="e">
        <f>AND(Stats!AD2,"AAAAACvrxpU=")</f>
        <v>#VALUE!</v>
      </c>
      <c r="EU2" t="e">
        <f>AND(Stats!AE2,"AAAAACvrxpY=")</f>
        <v>#VALUE!</v>
      </c>
      <c r="EV2" t="e">
        <f>AND(Stats!AF2,"AAAAACvrxpc=")</f>
        <v>#VALUE!</v>
      </c>
      <c r="EW2" t="e">
        <f>AND(Stats!AG2,"AAAAACvrxpg=")</f>
        <v>#VALUE!</v>
      </c>
      <c r="EX2" t="e">
        <f>AND(Stats!AH2,"AAAAACvrxpk=")</f>
        <v>#VALUE!</v>
      </c>
      <c r="EY2" t="e">
        <f>AND(Stats!AI2,"AAAAACvrxpo=")</f>
        <v>#VALUE!</v>
      </c>
      <c r="EZ2" t="e">
        <f>AND(Stats!AJ2,"AAAAACvrxps=")</f>
        <v>#VALUE!</v>
      </c>
      <c r="FA2" t="e">
        <f>AND(Stats!AK2,"AAAAACvrxpw=")</f>
        <v>#VALUE!</v>
      </c>
      <c r="FB2" t="e">
        <f>AND(Stats!AL2,"AAAAACvrxp0=")</f>
        <v>#VALUE!</v>
      </c>
      <c r="FC2" t="e">
        <f>AND(Stats!AM2,"AAAAACvrxp4=")</f>
        <v>#VALUE!</v>
      </c>
      <c r="FD2" t="e">
        <f>AND(Stats!AN2,"AAAAACvrxp8=")</f>
        <v>#VALUE!</v>
      </c>
      <c r="FE2" t="e">
        <f>AND(Stats!AO2,"AAAAACvrxqA=")</f>
        <v>#VALUE!</v>
      </c>
      <c r="FF2" t="e">
        <f>AND(Stats!AP2,"AAAAACvrxqE=")</f>
        <v>#VALUE!</v>
      </c>
      <c r="FG2" t="e">
        <f>AND(Stats!AQ2,"AAAAACvrxqI=")</f>
        <v>#VALUE!</v>
      </c>
      <c r="FH2" t="e">
        <f>AND(Stats!AR2,"AAAAACvrxqM=")</f>
        <v>#VALUE!</v>
      </c>
      <c r="FI2" t="e">
        <f>AND(Stats!AS2,"AAAAACvrxqQ=")</f>
        <v>#VALUE!</v>
      </c>
      <c r="FJ2" t="e">
        <f>AND(Stats!AT2,"AAAAACvrxqU=")</f>
        <v>#VALUE!</v>
      </c>
      <c r="FK2" t="e">
        <f>AND(Stats!AU2,"AAAAACvrxqY=")</f>
        <v>#VALUE!</v>
      </c>
      <c r="FL2" t="e">
        <f>AND(Stats!AV2,"AAAAACvrxqc=")</f>
        <v>#VALUE!</v>
      </c>
      <c r="FM2" t="e">
        <f>AND(Stats!AW2,"AAAAACvrxqg=")</f>
        <v>#VALUE!</v>
      </c>
      <c r="FN2" t="e">
        <f>AND(Stats!AX2,"AAAAACvrxqk=")</f>
        <v>#VALUE!</v>
      </c>
      <c r="FO2" t="e">
        <f>AND(Stats!AY2,"AAAAACvrxqo=")</f>
        <v>#VALUE!</v>
      </c>
      <c r="FP2" t="e">
        <f>AND(Stats!AZ2,"AAAAACvrxqs=")</f>
        <v>#VALUE!</v>
      </c>
      <c r="FQ2" t="e">
        <f>AND(Stats!BA2,"AAAAACvrxqw=")</f>
        <v>#VALUE!</v>
      </c>
      <c r="FR2" t="e">
        <f>AND(Stats!BB2,"AAAAACvrxq0=")</f>
        <v>#VALUE!</v>
      </c>
      <c r="FS2" t="e">
        <f>AND(Stats!BC2,"AAAAACvrxq4=")</f>
        <v>#VALUE!</v>
      </c>
      <c r="FT2" t="e">
        <f>AND(Stats!BD2,"AAAAACvrxq8=")</f>
        <v>#VALUE!</v>
      </c>
      <c r="FU2" t="e">
        <f>AND(Stats!BE2,"AAAAACvrxrA=")</f>
        <v>#VALUE!</v>
      </c>
      <c r="FV2" t="e">
        <f>AND(Stats!BF2,"AAAAACvrxrE=")</f>
        <v>#VALUE!</v>
      </c>
      <c r="FW2" t="e">
        <f>AND(Stats!BG2,"AAAAACvrxrI=")</f>
        <v>#VALUE!</v>
      </c>
      <c r="FX2" t="e">
        <f>AND(Stats!BH2,"AAAAACvrxrM=")</f>
        <v>#VALUE!</v>
      </c>
      <c r="FY2" t="e">
        <f>AND(Stats!BI2,"AAAAACvrxrQ=")</f>
        <v>#VALUE!</v>
      </c>
      <c r="FZ2" t="e">
        <f>AND(Stats!BJ2,"AAAAACvrxrU=")</f>
        <v>#VALUE!</v>
      </c>
      <c r="GA2" t="e">
        <f>AND(Stats!BK2,"AAAAACvrxrY=")</f>
        <v>#VALUE!</v>
      </c>
      <c r="GB2" t="e">
        <f>AND(Stats!BL2,"AAAAACvrxrc=")</f>
        <v>#VALUE!</v>
      </c>
      <c r="GC2" t="e">
        <f>AND(Stats!BM2,"AAAAACvrxrg=")</f>
        <v>#VALUE!</v>
      </c>
      <c r="GD2" t="e">
        <f>AND(Stats!BN2,"AAAAACvrxrk=")</f>
        <v>#VALUE!</v>
      </c>
      <c r="GE2" t="e">
        <f>AND(Stats!BO2,"AAAAACvrxro=")</f>
        <v>#VALUE!</v>
      </c>
      <c r="GF2" t="e">
        <f>AND(Stats!BP2,"AAAAACvrxrs=")</f>
        <v>#VALUE!</v>
      </c>
      <c r="GG2" t="e">
        <f>AND(Stats!BQ2,"AAAAACvrxrw=")</f>
        <v>#VALUE!</v>
      </c>
      <c r="GH2" t="e">
        <f>AND(Stats!BR2,"AAAAACvrxr0=")</f>
        <v>#VALUE!</v>
      </c>
      <c r="GI2" t="e">
        <f>AND(Stats!BS2,"AAAAACvrxr4=")</f>
        <v>#VALUE!</v>
      </c>
      <c r="GJ2" t="e">
        <f>AND(Stats!BT2,"AAAAACvrxr8=")</f>
        <v>#VALUE!</v>
      </c>
      <c r="GK2" t="e">
        <f>AND(Stats!BU2,"AAAAACvrxsA=")</f>
        <v>#VALUE!</v>
      </c>
      <c r="GL2" t="e">
        <f>AND(Stats!BV2,"AAAAACvrxsE=")</f>
        <v>#VALUE!</v>
      </c>
      <c r="GM2" t="e">
        <f>AND(Stats!BW2,"AAAAACvrxsI=")</f>
        <v>#VALUE!</v>
      </c>
      <c r="GN2" t="e">
        <f>AND(Stats!BX2,"AAAAACvrxsM=")</f>
        <v>#VALUE!</v>
      </c>
      <c r="GO2" t="e">
        <f>AND(Stats!BY2,"AAAAACvrxsQ=")</f>
        <v>#VALUE!</v>
      </c>
      <c r="GP2" t="e">
        <f>AND(Stats!BZ2,"AAAAACvrxsU=")</f>
        <v>#VALUE!</v>
      </c>
      <c r="GQ2" t="e">
        <f>AND(Stats!CA2,"AAAAACvrxsY=")</f>
        <v>#VALUE!</v>
      </c>
      <c r="GR2" t="e">
        <f>AND(Stats!CB2,"AAAAACvrxsc=")</f>
        <v>#VALUE!</v>
      </c>
      <c r="GS2" t="e">
        <f>AND(Stats!CC2,"AAAAACvrxsg=")</f>
        <v>#VALUE!</v>
      </c>
      <c r="GT2" t="e">
        <f>AND(Stats!CD2,"AAAAACvrxsk=")</f>
        <v>#VALUE!</v>
      </c>
      <c r="GU2" t="e">
        <f>AND(Stats!CE2,"AAAAACvrxso=")</f>
        <v>#VALUE!</v>
      </c>
      <c r="GV2" t="e">
        <f>AND(Stats!CF2,"AAAAACvrxss=")</f>
        <v>#VALUE!</v>
      </c>
      <c r="GW2" t="e">
        <f>AND(Stats!CG2,"AAAAACvrxsw=")</f>
        <v>#VALUE!</v>
      </c>
      <c r="GX2" t="e">
        <f>AND(Stats!CH2,"AAAAACvrxs0=")</f>
        <v>#VALUE!</v>
      </c>
      <c r="GY2" t="e">
        <f>AND(Stats!CI2,"AAAAACvrxs4=")</f>
        <v>#VALUE!</v>
      </c>
      <c r="GZ2">
        <f>IF(Stats!3:3,"AAAAACvrxs8=",0)</f>
        <v>0</v>
      </c>
      <c r="HA2">
        <f>IF(Stats!4:4,"AAAAACvrxtA=",0)</f>
        <v>0</v>
      </c>
      <c r="HB2">
        <f>IF(Stats!5:5,"AAAAACvrxtE=",0)</f>
        <v>0</v>
      </c>
      <c r="HC2">
        <f>IF(Stats!6:6,"AAAAACvrxtI=",0)</f>
        <v>0</v>
      </c>
      <c r="HD2">
        <f>IF(Stats!7:7,"AAAAACvrxtM=",0)</f>
        <v>0</v>
      </c>
      <c r="HE2">
        <f>IF(Stats!8:8,"AAAAACvrxtQ=",0)</f>
        <v>0</v>
      </c>
      <c r="HF2">
        <f>IF(Stats!9:9,"AAAAACvrxtU=",0)</f>
        <v>0</v>
      </c>
      <c r="HG2">
        <f>IF(Stats!10:10,"AAAAACvrxtY=",0)</f>
        <v>0</v>
      </c>
      <c r="HH2">
        <f>IF(Stats!11:11,"AAAAACvrxtc=",0)</f>
        <v>0</v>
      </c>
      <c r="HI2">
        <f>IF(Stats!12:12,"AAAAACvrxtg=",0)</f>
        <v>0</v>
      </c>
      <c r="HJ2">
        <f>IF(Stats!13:13,"AAAAACvrxtk=",0)</f>
        <v>0</v>
      </c>
      <c r="HK2">
        <f>IF(Stats!14:14,"AAAAACvrxto=",0)</f>
        <v>0</v>
      </c>
      <c r="HL2">
        <f>IF(Stats!15:15,"AAAAACvrxts=",0)</f>
        <v>0</v>
      </c>
      <c r="HM2">
        <f>IF(Stats!16:16,"AAAAACvrxtw=",0)</f>
        <v>0</v>
      </c>
      <c r="HN2">
        <f>IF(Stats!17:17,"AAAAACvrxt0=",0)</f>
        <v>0</v>
      </c>
      <c r="HO2">
        <f>IF(Stats!18:18,"AAAAACvrxt4=",0)</f>
        <v>0</v>
      </c>
      <c r="HP2">
        <f>IF(Stats!19:19,"AAAAACvrxt8=",0)</f>
        <v>0</v>
      </c>
      <c r="HQ2">
        <f>IF(Stats!20:20,"AAAAACvrxuA=",0)</f>
        <v>0</v>
      </c>
      <c r="HR2">
        <f>IF(Stats!21:21,"AAAAACvrxuE=",0)</f>
        <v>0</v>
      </c>
      <c r="HS2">
        <f>IF(Stats!22:22,"AAAAACvrxuI=",0)</f>
        <v>0</v>
      </c>
      <c r="HT2">
        <f>IF(Stats!23:23,"AAAAACvrxuM=",0)</f>
        <v>0</v>
      </c>
      <c r="HU2">
        <f>IF(Stats!24:24,"AAAAACvrxuQ=",0)</f>
        <v>0</v>
      </c>
      <c r="HV2">
        <f>IF(Stats!25:25,"AAAAACvrxuU=",0)</f>
        <v>0</v>
      </c>
      <c r="HW2">
        <f>IF(Stats!26:26,"AAAAACvrxuY=",0)</f>
        <v>0</v>
      </c>
      <c r="HX2">
        <f>IF(Stats!27:27,"AAAAACvrxuc=",0)</f>
        <v>0</v>
      </c>
      <c r="HY2">
        <f>IF(Stats!28:28,"AAAAACvrxug=",0)</f>
        <v>0</v>
      </c>
      <c r="HZ2">
        <f>IF(Stats!29:29,"AAAAACvrxuk=",0)</f>
        <v>0</v>
      </c>
      <c r="IA2">
        <f>IF(Stats!30:30,"AAAAACvrxuo=",0)</f>
        <v>0</v>
      </c>
      <c r="IB2">
        <f>IF(Stats!31:31,"AAAAACvrxus=",0)</f>
        <v>0</v>
      </c>
      <c r="IC2">
        <f>IF(Stats!32:32,"AAAAACvrxuw=",0)</f>
        <v>0</v>
      </c>
      <c r="ID2">
        <f>IF(Stats!33:33,"AAAAACvrxu0=",0)</f>
        <v>0</v>
      </c>
      <c r="IE2">
        <f>IF(Stats!34:34,"AAAAACvrxu4=",0)</f>
        <v>0</v>
      </c>
      <c r="IF2">
        <f>IF(Stats!35:35,"AAAAACvrxu8=",0)</f>
        <v>0</v>
      </c>
      <c r="IG2">
        <f>IF(Stats!36:36,"AAAAACvrxvA=",0)</f>
        <v>0</v>
      </c>
      <c r="IH2">
        <f>IF(Stats!37:37,"AAAAACvrxvE=",0)</f>
        <v>0</v>
      </c>
      <c r="II2">
        <f>IF(Stats!38:38,"AAAAACvrxvI=",0)</f>
        <v>0</v>
      </c>
      <c r="IJ2">
        <f>IF(Stats!39:39,"AAAAACvrxvM=",0)</f>
        <v>0</v>
      </c>
      <c r="IK2">
        <f>IF(Stats!40:40,"AAAAACvrxvQ=",0)</f>
        <v>0</v>
      </c>
      <c r="IL2">
        <f>IF(Stats!41:41,"AAAAACvrxvU=",0)</f>
        <v>0</v>
      </c>
      <c r="IM2">
        <f>IF(Stats!42:42,"AAAAACvrxvY=",0)</f>
        <v>0</v>
      </c>
      <c r="IN2">
        <f>IF(Stats!43:43,"AAAAACvrxvc=",0)</f>
        <v>0</v>
      </c>
      <c r="IO2">
        <f>IF(Stats!44:44,"AAAAACvrxvg=",0)</f>
        <v>0</v>
      </c>
      <c r="IP2">
        <f>IF(Stats!45:45,"AAAAACvrxvk=",0)</f>
        <v>0</v>
      </c>
      <c r="IQ2">
        <f>IF(Stats!46:46,"AAAAACvrxvo=",0)</f>
        <v>0</v>
      </c>
      <c r="IR2">
        <f>IF(Stats!47:47,"AAAAACvrxvs=",0)</f>
        <v>0</v>
      </c>
      <c r="IS2">
        <f>IF(Stats!48:48,"AAAAACvrxvw=",0)</f>
        <v>0</v>
      </c>
      <c r="IT2">
        <f>IF(Stats!49:49,"AAAAACvrxv0=",0)</f>
        <v>0</v>
      </c>
      <c r="IU2">
        <f>IF(Stats!50:50,"AAAAACvrxv4=",0)</f>
        <v>0</v>
      </c>
      <c r="IV2">
        <f>IF(Stats!51:51,"AAAAACvrxv8=",0)</f>
        <v>0</v>
      </c>
    </row>
    <row r="3" spans="1:256" x14ac:dyDescent="0.25">
      <c r="A3">
        <f>IF(Stats!52:52,"AAAAAF/vzwA=",0)</f>
        <v>0</v>
      </c>
      <c r="B3">
        <f>IF(Stats!53:53,"AAAAAF/vzwE=",0)</f>
        <v>0</v>
      </c>
      <c r="C3">
        <f>IF(Stats!54:54,"AAAAAF/vzwI=",0)</f>
        <v>0</v>
      </c>
      <c r="D3">
        <f>IF(Stats!55:55,"AAAAAF/vzwM=",0)</f>
        <v>0</v>
      </c>
      <c r="E3">
        <f>IF(Stats!56:56,"AAAAAF/vzwQ=",0)</f>
        <v>0</v>
      </c>
      <c r="F3">
        <f>IF(Stats!57:57,"AAAAAF/vzwU=",0)</f>
        <v>0</v>
      </c>
      <c r="G3">
        <f>IF(Stats!58:58,"AAAAAF/vzwY=",0)</f>
        <v>0</v>
      </c>
      <c r="H3">
        <f>IF(Stats!59:59,"AAAAAF/vzwc=",0)</f>
        <v>0</v>
      </c>
      <c r="I3">
        <f>IF(Stats!60:60,"AAAAAF/vzwg=",0)</f>
        <v>0</v>
      </c>
      <c r="J3">
        <f>IF(Stats!61:61,"AAAAAF/vzwk=",0)</f>
        <v>0</v>
      </c>
      <c r="K3">
        <f>IF(Stats!62:62,"AAAAAF/vzwo=",0)</f>
        <v>0</v>
      </c>
      <c r="L3">
        <f>IF(Stats!63:63,"AAAAAF/vzws=",0)</f>
        <v>0</v>
      </c>
      <c r="M3">
        <f>IF(Stats!64:64,"AAAAAF/vzww=",0)</f>
        <v>0</v>
      </c>
      <c r="N3">
        <f>IF(Stats!65:65,"AAAAAF/vzw0=",0)</f>
        <v>0</v>
      </c>
      <c r="O3">
        <f>IF(Stats!66:66,"AAAAAF/vzw4=",0)</f>
        <v>0</v>
      </c>
      <c r="P3">
        <f>IF(Stats!67:67,"AAAAAF/vzw8=",0)</f>
        <v>0</v>
      </c>
      <c r="Q3">
        <f>IF(Stats!68:68,"AAAAAF/vzxA=",0)</f>
        <v>0</v>
      </c>
      <c r="R3">
        <f>IF(Stats!69:69,"AAAAAF/vzxE=",0)</f>
        <v>0</v>
      </c>
      <c r="S3">
        <f>IF(Stats!70:70,"AAAAAF/vzxI=",0)</f>
        <v>0</v>
      </c>
      <c r="T3">
        <f>IF(Stats!71:71,"AAAAAF/vzxM=",0)</f>
        <v>0</v>
      </c>
      <c r="U3">
        <f>IF(Stats!72:72,"AAAAAF/vzxQ=",0)</f>
        <v>0</v>
      </c>
      <c r="V3">
        <f>IF(Stats!73:73,"AAAAAF/vzxU=",0)</f>
        <v>0</v>
      </c>
      <c r="W3">
        <f>IF(Stats!74:74,"AAAAAF/vzxY=",0)</f>
        <v>0</v>
      </c>
      <c r="X3">
        <f>IF(Stats!75:75,"AAAAAF/vzxc=",0)</f>
        <v>0</v>
      </c>
      <c r="Y3">
        <f>IF(Stats!76:76,"AAAAAF/vzxg=",0)</f>
        <v>0</v>
      </c>
      <c r="Z3">
        <f>IF(Stats!77:77,"AAAAAF/vzxk=",0)</f>
        <v>0</v>
      </c>
      <c r="AA3">
        <f>IF(Stats!78:78,"AAAAAF/vzxo=",0)</f>
        <v>0</v>
      </c>
      <c r="AB3">
        <f>IF(Stats!79:79,"AAAAAF/vzxs=",0)</f>
        <v>0</v>
      </c>
      <c r="AC3">
        <f>IF(Stats!80:80,"AAAAAF/vzxw=",0)</f>
        <v>0</v>
      </c>
      <c r="AD3">
        <f>IF(Stats!81:81,"AAAAAF/vzx0=",0)</f>
        <v>0</v>
      </c>
      <c r="AE3">
        <f>IF(Stats!82:82,"AAAAAF/vzx4=",0)</f>
        <v>0</v>
      </c>
      <c r="AF3">
        <f>IF(Stats!83:83,"AAAAAF/vzx8=",0)</f>
        <v>0</v>
      </c>
      <c r="AG3">
        <f>IF(Stats!84:84,"AAAAAF/vzyA=",0)</f>
        <v>0</v>
      </c>
      <c r="AH3">
        <f>IF(Stats!85:85,"AAAAAF/vzyE=",0)</f>
        <v>0</v>
      </c>
      <c r="AI3">
        <f>IF(Stats!86:86,"AAAAAF/vzyI=",0)</f>
        <v>0</v>
      </c>
      <c r="AJ3">
        <f>IF(Stats!87:87,"AAAAAF/vzyM=",0)</f>
        <v>0</v>
      </c>
      <c r="AK3">
        <f>IF(Stats!88:88,"AAAAAF/vzyQ=",0)</f>
        <v>0</v>
      </c>
      <c r="AL3">
        <f>IF(Stats!89:89,"AAAAAF/vzyU=",0)</f>
        <v>0</v>
      </c>
      <c r="AM3">
        <f>IF(Stats!90:90,"AAAAAF/vzyY=",0)</f>
        <v>0</v>
      </c>
      <c r="AN3">
        <f>IF(Stats!91:91,"AAAAAF/vzyc=",0)</f>
        <v>0</v>
      </c>
      <c r="AO3">
        <f>IF(Stats!92:92,"AAAAAF/vzyg=",0)</f>
        <v>0</v>
      </c>
      <c r="AP3">
        <f>IF(Stats!93:93,"AAAAAF/vzyk=",0)</f>
        <v>0</v>
      </c>
      <c r="AQ3">
        <f>IF(Stats!94:94,"AAAAAF/vzyo=",0)</f>
        <v>0</v>
      </c>
      <c r="AR3">
        <f>IF(Stats!95:95,"AAAAAF/vzys=",0)</f>
        <v>0</v>
      </c>
      <c r="AS3">
        <f>IF(Stats!96:96,"AAAAAF/vzyw=",0)</f>
        <v>0</v>
      </c>
      <c r="AT3">
        <f>IF(Stats!97:97,"AAAAAF/vzy0=",0)</f>
        <v>0</v>
      </c>
      <c r="AU3">
        <f>IF(Stats!98:98,"AAAAAF/vzy4=",0)</f>
        <v>0</v>
      </c>
      <c r="AV3">
        <f>IF(Stats!99:99,"AAAAAF/vzy8=",0)</f>
        <v>0</v>
      </c>
      <c r="AW3">
        <f>IF(Stats!100:100,"AAAAAF/vzzA=",0)</f>
        <v>0</v>
      </c>
      <c r="AX3">
        <f>IF(Stats!101:101,"AAAAAF/vzzE=",0)</f>
        <v>0</v>
      </c>
      <c r="AY3">
        <f>IF(Stats!A:A,"AAAAAF/vzzI=",0)</f>
        <v>0</v>
      </c>
      <c r="AZ3">
        <f>IF(Stats!B:B,"AAAAAF/vzzM=",0)</f>
        <v>0</v>
      </c>
      <c r="BA3">
        <f>IF(Stats!C:C,"AAAAAF/vzzQ=",0)</f>
        <v>0</v>
      </c>
      <c r="BB3">
        <f>IF(Stats!D:D,"AAAAAF/vzzU=",0)</f>
        <v>0</v>
      </c>
      <c r="BC3">
        <f>IF(Stats!E:E,"AAAAAF/vzzY=",0)</f>
        <v>0</v>
      </c>
      <c r="BD3">
        <f>IF(Stats!F:F,"AAAAAF/vzzc=",0)</f>
        <v>0</v>
      </c>
      <c r="BE3">
        <f>IF(Stats!G:G,"AAAAAF/vzzg=",0)</f>
        <v>0</v>
      </c>
      <c r="BF3">
        <f>IF(Stats!H:H,"AAAAAF/vzzk=",0)</f>
        <v>0</v>
      </c>
      <c r="BG3">
        <f>IF(Stats!I:I,"AAAAAF/vzzo=",0)</f>
        <v>0</v>
      </c>
      <c r="BH3">
        <f>IF(Stats!J:J,"AAAAAF/vzzs=",0)</f>
        <v>0</v>
      </c>
      <c r="BI3">
        <f>IF(Stats!K:K,"AAAAAF/vzzw=",0)</f>
        <v>0</v>
      </c>
      <c r="BJ3">
        <f>IF(Stats!L:L,"AAAAAF/vzz0=",0)</f>
        <v>0</v>
      </c>
      <c r="BK3">
        <f>IF(Stats!M:M,"AAAAAF/vzz4=",0)</f>
        <v>0</v>
      </c>
      <c r="BL3">
        <f>IF(Stats!N:N,"AAAAAF/vzz8=",0)</f>
        <v>0</v>
      </c>
      <c r="BM3">
        <f>IF(Stats!O:O,"AAAAAF/vz0A=",0)</f>
        <v>0</v>
      </c>
      <c r="BN3">
        <f>IF(Stats!P:P,"AAAAAF/vz0E=",0)</f>
        <v>0</v>
      </c>
      <c r="BO3">
        <f>IF(Stats!Q:Q,"AAAAAF/vz0I=",0)</f>
        <v>0</v>
      </c>
      <c r="BP3">
        <f>IF(Stats!R:R,"AAAAAF/vz0M=",0)</f>
        <v>0</v>
      </c>
      <c r="BQ3">
        <f>IF(Stats!S:S,"AAAAAF/vz0Q=",0)</f>
        <v>0</v>
      </c>
      <c r="BR3">
        <f>IF(Stats!T:T,"AAAAAF/vz0U=",0)</f>
        <v>0</v>
      </c>
      <c r="BS3">
        <f>IF(Stats!U:U,"AAAAAF/vz0Y=",0)</f>
        <v>0</v>
      </c>
      <c r="BT3">
        <f>IF(Stats!V:V,"AAAAAF/vz0c=",0)</f>
        <v>0</v>
      </c>
      <c r="BU3">
        <f>IF(Stats!W:W,"AAAAAF/vz0g=",0)</f>
        <v>0</v>
      </c>
      <c r="BV3">
        <f>IF(Stats!X:X,"AAAAAF/vz0k=",0)</f>
        <v>0</v>
      </c>
      <c r="BW3">
        <f>IF(Stats!Y:Y,"AAAAAF/vz0o=",0)</f>
        <v>0</v>
      </c>
      <c r="BX3">
        <f>IF(Stats!Z:Z,"AAAAAF/vz0s=",0)</f>
        <v>0</v>
      </c>
      <c r="BY3">
        <f>IF(Stats!AA:AA,"AAAAAF/vz0w=",0)</f>
        <v>0</v>
      </c>
      <c r="BZ3">
        <f>IF(Stats!AB:AB,"AAAAAF/vz00=",0)</f>
        <v>0</v>
      </c>
      <c r="CA3">
        <f>IF(Stats!AC:AC,"AAAAAF/vz04=",0)</f>
        <v>0</v>
      </c>
      <c r="CB3">
        <f>IF(Stats!AD:AD,"AAAAAF/vz08=",0)</f>
        <v>0</v>
      </c>
      <c r="CC3">
        <f>IF(Stats!AE:AE,"AAAAAF/vz1A=",0)</f>
        <v>0</v>
      </c>
      <c r="CD3">
        <f>IF(Stats!AF:AF,"AAAAAF/vz1E=",0)</f>
        <v>0</v>
      </c>
      <c r="CE3">
        <f>IF(Stats!AG:AG,"AAAAAF/vz1I=",0)</f>
        <v>0</v>
      </c>
      <c r="CF3">
        <f>IF(Stats!AH:AH,"AAAAAF/vz1M=",0)</f>
        <v>0</v>
      </c>
      <c r="CG3">
        <f>IF(Stats!AI:AI,"AAAAAF/vz1Q=",0)</f>
        <v>0</v>
      </c>
      <c r="CH3">
        <f>IF(Stats!AJ:AJ,"AAAAAF/vz1U=",0)</f>
        <v>0</v>
      </c>
      <c r="CI3">
        <f>IF(Stats!AK:AK,"AAAAAF/vz1Y=",0)</f>
        <v>0</v>
      </c>
      <c r="CJ3">
        <f>IF(Stats!AL:AL,"AAAAAF/vz1c=",0)</f>
        <v>0</v>
      </c>
      <c r="CK3">
        <f>IF(Stats!AM:AM,"AAAAAF/vz1g=",0)</f>
        <v>0</v>
      </c>
      <c r="CL3">
        <f>IF(Stats!AN:AN,"AAAAAF/vz1k=",0)</f>
        <v>0</v>
      </c>
      <c r="CM3">
        <f>IF(Stats!AO:AO,"AAAAAF/vz1o=",0)</f>
        <v>0</v>
      </c>
      <c r="CN3">
        <f>IF(Stats!AP:AP,"AAAAAF/vz1s=",0)</f>
        <v>0</v>
      </c>
      <c r="CO3">
        <f>IF(Stats!AQ:AQ,"AAAAAF/vz1w=",0)</f>
        <v>0</v>
      </c>
      <c r="CP3">
        <f>IF(Stats!AR:AR,"AAAAAF/vz10=",0)</f>
        <v>0</v>
      </c>
      <c r="CQ3">
        <f>IF(Stats!AS:AS,"AAAAAF/vz14=",0)</f>
        <v>0</v>
      </c>
      <c r="CR3">
        <f>IF(Stats!AT:AT,"AAAAAF/vz18=",0)</f>
        <v>0</v>
      </c>
      <c r="CS3">
        <f>IF(Stats!AU:AU,"AAAAAF/vz2A=",0)</f>
        <v>0</v>
      </c>
      <c r="CT3">
        <f>IF(Stats!AV:AV,"AAAAAF/vz2E=",0)</f>
        <v>0</v>
      </c>
      <c r="CU3">
        <f>IF(Stats!AW:AW,"AAAAAF/vz2I=",0)</f>
        <v>0</v>
      </c>
      <c r="CV3">
        <f>IF(Stats!AX:AX,"AAAAAF/vz2M=",0)</f>
        <v>0</v>
      </c>
      <c r="CW3">
        <f>IF(Stats!AY:AY,"AAAAAF/vz2Q=",0)</f>
        <v>0</v>
      </c>
      <c r="CX3">
        <f>IF(Stats!AZ:AZ,"AAAAAF/vz2U=",0)</f>
        <v>0</v>
      </c>
      <c r="CY3">
        <f>IF(Stats!BA:BA,"AAAAAF/vz2Y=",0)</f>
        <v>0</v>
      </c>
      <c r="CZ3">
        <f>IF(Stats!BB:BB,"AAAAAF/vz2c=",0)</f>
        <v>0</v>
      </c>
      <c r="DA3">
        <f>IF(Stats!BC:BC,"AAAAAF/vz2g=",0)</f>
        <v>0</v>
      </c>
      <c r="DB3">
        <f>IF(Stats!BD:BD,"AAAAAF/vz2k=",0)</f>
        <v>0</v>
      </c>
      <c r="DC3">
        <f>IF(Stats!BE:BE,"AAAAAF/vz2o=",0)</f>
        <v>0</v>
      </c>
      <c r="DD3">
        <f>IF(Stats!BF:BF,"AAAAAF/vz2s=",0)</f>
        <v>0</v>
      </c>
      <c r="DE3">
        <f>IF(Stats!BG:BG,"AAAAAF/vz2w=",0)</f>
        <v>0</v>
      </c>
      <c r="DF3">
        <f>IF(Stats!BH:BH,"AAAAAF/vz20=",0)</f>
        <v>0</v>
      </c>
      <c r="DG3">
        <f>IF(Stats!BI:BI,"AAAAAF/vz24=",0)</f>
        <v>0</v>
      </c>
      <c r="DH3">
        <f>IF(Stats!BJ:BJ,"AAAAAF/vz28=",0)</f>
        <v>0</v>
      </c>
      <c r="DI3">
        <f>IF(Stats!BK:BK,"AAAAAF/vz3A=",0)</f>
        <v>0</v>
      </c>
      <c r="DJ3">
        <f>IF(Stats!BL:BL,"AAAAAF/vz3E=",0)</f>
        <v>0</v>
      </c>
      <c r="DK3">
        <f>IF(Stats!BM:BM,"AAAAAF/vz3I=",0)</f>
        <v>0</v>
      </c>
      <c r="DL3">
        <f>IF(Stats!BN:BN,"AAAAAF/vz3M=",0)</f>
        <v>0</v>
      </c>
      <c r="DM3">
        <f>IF(Stats!BO:BO,"AAAAAF/vz3Q=",0)</f>
        <v>0</v>
      </c>
      <c r="DN3">
        <f>IF(Stats!BP:BP,"AAAAAF/vz3U=",0)</f>
        <v>0</v>
      </c>
      <c r="DO3">
        <f>IF(Stats!BQ:BQ,"AAAAAF/vz3Y=",0)</f>
        <v>0</v>
      </c>
      <c r="DP3">
        <f>IF(Stats!BR:BR,"AAAAAF/vz3c=",0)</f>
        <v>0</v>
      </c>
      <c r="DQ3">
        <f>IF(Stats!BS:BS,"AAAAAF/vz3g=",0)</f>
        <v>0</v>
      </c>
      <c r="DR3">
        <f>IF(Stats!BT:BT,"AAAAAF/vz3k=",0)</f>
        <v>0</v>
      </c>
      <c r="DS3">
        <f>IF(Stats!BU:BU,"AAAAAF/vz3o=",0)</f>
        <v>0</v>
      </c>
      <c r="DT3">
        <f>IF(Stats!BV:BV,"AAAAAF/vz3s=",0)</f>
        <v>0</v>
      </c>
      <c r="DU3">
        <f>IF(Stats!BW:BW,"AAAAAF/vz3w=",0)</f>
        <v>0</v>
      </c>
      <c r="DV3">
        <f>IF(Stats!BX:BX,"AAAAAF/vz30=",0)</f>
        <v>0</v>
      </c>
      <c r="DW3">
        <f>IF(Stats!BY:BY,"AAAAAF/vz34=",0)</f>
        <v>0</v>
      </c>
      <c r="DX3">
        <f>IF(Stats!BZ:BZ,"AAAAAF/vz38=",0)</f>
        <v>0</v>
      </c>
      <c r="DY3">
        <f>IF(Stats!CA:CA,"AAAAAF/vz4A=",0)</f>
        <v>0</v>
      </c>
      <c r="DZ3">
        <f>IF(Stats!CB:CB,"AAAAAF/vz4E=",0)</f>
        <v>0</v>
      </c>
      <c r="EA3">
        <f>IF(Stats!CC:CC,"AAAAAF/vz4I=",0)</f>
        <v>0</v>
      </c>
      <c r="EB3">
        <f>IF(Stats!CD:CD,"AAAAAF/vz4M=",0)</f>
        <v>0</v>
      </c>
      <c r="EC3">
        <f>IF(Stats!CE:CE,"AAAAAF/vz4Q=",0)</f>
        <v>0</v>
      </c>
      <c r="ED3">
        <f>IF(Stats!CF:CF,"AAAAAF/vz4U=",0)</f>
        <v>0</v>
      </c>
      <c r="EE3">
        <f>IF(Stats!CG:CG,"AAAAAF/vz4Y=",0)</f>
        <v>0</v>
      </c>
      <c r="EF3">
        <f>IF(Stats!CH:CH,"AAAAAF/vz4c=",0)</f>
        <v>0</v>
      </c>
      <c r="EG3">
        <f>IF(Stats!CI:CI,"AAAAAF/vz4g=",0)</f>
        <v>0</v>
      </c>
      <c r="EH3">
        <f>IF(Validation!1:1,"AAAAAF/vz4k=",0)</f>
        <v>0</v>
      </c>
      <c r="EI3" t="e">
        <f>AND(Validation!A1,"AAAAAF/vz4o=")</f>
        <v>#VALUE!</v>
      </c>
      <c r="EJ3" t="e">
        <f>AND(Validation!B1,"AAAAAF/vz4s=")</f>
        <v>#VALUE!</v>
      </c>
      <c r="EK3" t="e">
        <f>AND(Validation!C1,"AAAAAF/vz4w=")</f>
        <v>#VALUE!</v>
      </c>
      <c r="EL3" t="e">
        <f>AND(Validation!D1,"AAAAAF/vz40=")</f>
        <v>#VALUE!</v>
      </c>
      <c r="EM3" t="e">
        <f>AND(Validation!E1,"AAAAAF/vz44=")</f>
        <v>#VALUE!</v>
      </c>
      <c r="EN3" t="e">
        <f>AND(Validation!F1,"AAAAAF/vz48=")</f>
        <v>#VALUE!</v>
      </c>
      <c r="EO3" t="e">
        <f>AND(Validation!G1,"AAAAAF/vz5A=")</f>
        <v>#VALUE!</v>
      </c>
      <c r="EP3" t="e">
        <f>AND(Validation!H1,"AAAAAF/vz5E=")</f>
        <v>#VALUE!</v>
      </c>
      <c r="EQ3" t="e">
        <f>AND(Validation!I1,"AAAAAF/vz5I=")</f>
        <v>#VALUE!</v>
      </c>
      <c r="ER3" t="e">
        <f>AND(Validation!J1,"AAAAAF/vz5M=")</f>
        <v>#VALUE!</v>
      </c>
      <c r="ES3" t="e">
        <f>AND(Validation!K1,"AAAAAF/vz5Q=")</f>
        <v>#VALUE!</v>
      </c>
      <c r="ET3" t="e">
        <f>AND(Validation!L1,"AAAAAF/vz5U=")</f>
        <v>#VALUE!</v>
      </c>
      <c r="EU3" t="e">
        <f>AND(Validation!M1,"AAAAAF/vz5Y=")</f>
        <v>#VALUE!</v>
      </c>
      <c r="EV3" t="e">
        <f>AND(Validation!N1,"AAAAAF/vz5c=")</f>
        <v>#VALUE!</v>
      </c>
      <c r="EW3" t="e">
        <f>AND(Validation!O1,"AAAAAF/vz5g=")</f>
        <v>#VALUE!</v>
      </c>
      <c r="EX3" t="e">
        <f>AND(Validation!P1,"AAAAAF/vz5k=")</f>
        <v>#VALUE!</v>
      </c>
      <c r="EY3">
        <f>IF(Validation!2:2,"AAAAAF/vz5o=",0)</f>
        <v>0</v>
      </c>
      <c r="EZ3" t="e">
        <f>AND(Validation!A2,"AAAAAF/vz5s=")</f>
        <v>#VALUE!</v>
      </c>
      <c r="FA3" t="e">
        <f>AND(Validation!B2,"AAAAAF/vz5w=")</f>
        <v>#VALUE!</v>
      </c>
      <c r="FB3" t="e">
        <f>AND(Validation!C2,"AAAAAF/vz50=")</f>
        <v>#VALUE!</v>
      </c>
      <c r="FC3" t="e">
        <f>AND(Validation!D2,"AAAAAF/vz54=")</f>
        <v>#VALUE!</v>
      </c>
      <c r="FD3" t="e">
        <f>AND(Validation!E2,"AAAAAF/vz58=")</f>
        <v>#VALUE!</v>
      </c>
      <c r="FE3" t="e">
        <f>AND(Validation!F2,"AAAAAF/vz6A=")</f>
        <v>#VALUE!</v>
      </c>
      <c r="FF3" t="e">
        <f>AND(Validation!G2,"AAAAAF/vz6E=")</f>
        <v>#VALUE!</v>
      </c>
      <c r="FG3" t="e">
        <f>AND(Validation!H2,"AAAAAF/vz6I=")</f>
        <v>#VALUE!</v>
      </c>
      <c r="FH3" t="e">
        <f>AND(Validation!I2,"AAAAAF/vz6M=")</f>
        <v>#VALUE!</v>
      </c>
      <c r="FI3" t="e">
        <f>AND(Validation!J2,"AAAAAF/vz6Q=")</f>
        <v>#VALUE!</v>
      </c>
      <c r="FJ3" t="e">
        <f>AND(Validation!K2,"AAAAAF/vz6U=")</f>
        <v>#VALUE!</v>
      </c>
      <c r="FK3" t="e">
        <f>AND(Validation!L2,"AAAAAF/vz6Y=")</f>
        <v>#VALUE!</v>
      </c>
      <c r="FL3" t="e">
        <f>AND(Validation!M2,"AAAAAF/vz6c=")</f>
        <v>#VALUE!</v>
      </c>
      <c r="FM3" t="e">
        <f>AND(Validation!N2,"AAAAAF/vz6g=")</f>
        <v>#VALUE!</v>
      </c>
      <c r="FN3" t="e">
        <f>AND(Validation!O2,"AAAAAF/vz6k=")</f>
        <v>#VALUE!</v>
      </c>
      <c r="FO3" t="e">
        <f>AND(Validation!P2,"AAAAAF/vz6o=")</f>
        <v>#VALUE!</v>
      </c>
      <c r="FP3">
        <f>IF(Validation!3:3,"AAAAAF/vz6s=",0)</f>
        <v>0</v>
      </c>
      <c r="FQ3" t="e">
        <f>AND(Validation!A3,"AAAAAF/vz6w=")</f>
        <v>#VALUE!</v>
      </c>
      <c r="FR3" t="e">
        <f>AND(Validation!B3,"AAAAAF/vz60=")</f>
        <v>#VALUE!</v>
      </c>
      <c r="FS3" t="e">
        <f>AND(Validation!C3,"AAAAAF/vz64=")</f>
        <v>#VALUE!</v>
      </c>
      <c r="FT3" t="e">
        <f>AND(Validation!D3,"AAAAAF/vz68=")</f>
        <v>#VALUE!</v>
      </c>
      <c r="FU3" t="e">
        <f>AND(Validation!E3,"AAAAAF/vz7A=")</f>
        <v>#VALUE!</v>
      </c>
      <c r="FV3" t="e">
        <f>AND(Validation!F3,"AAAAAF/vz7E=")</f>
        <v>#VALUE!</v>
      </c>
      <c r="FW3" t="e">
        <f>AND(Validation!G3,"AAAAAF/vz7I=")</f>
        <v>#VALUE!</v>
      </c>
      <c r="FX3" t="e">
        <f>AND(Validation!H3,"AAAAAF/vz7M=")</f>
        <v>#VALUE!</v>
      </c>
      <c r="FY3" t="e">
        <f>AND(Validation!I3,"AAAAAF/vz7Q=")</f>
        <v>#VALUE!</v>
      </c>
      <c r="FZ3" t="e">
        <f>AND(Validation!J3,"AAAAAF/vz7U=")</f>
        <v>#VALUE!</v>
      </c>
      <c r="GA3" t="e">
        <f>AND(Validation!K3,"AAAAAF/vz7Y=")</f>
        <v>#VALUE!</v>
      </c>
      <c r="GB3" t="e">
        <f>AND(Validation!L3,"AAAAAF/vz7c=")</f>
        <v>#VALUE!</v>
      </c>
      <c r="GC3" t="e">
        <f>AND(Validation!M3,"AAAAAF/vz7g=")</f>
        <v>#VALUE!</v>
      </c>
      <c r="GD3" t="e">
        <f>AND(Validation!N3,"AAAAAF/vz7k=")</f>
        <v>#VALUE!</v>
      </c>
      <c r="GE3" t="e">
        <f>AND(Validation!O3,"AAAAAF/vz7o=")</f>
        <v>#VALUE!</v>
      </c>
      <c r="GF3" t="e">
        <f>AND(Validation!P3,"AAAAAF/vz7s=")</f>
        <v>#VALUE!</v>
      </c>
      <c r="GG3">
        <f>IF(Validation!4:4,"AAAAAF/vz7w=",0)</f>
        <v>0</v>
      </c>
      <c r="GH3" t="e">
        <f>AND(Validation!A4,"AAAAAF/vz70=")</f>
        <v>#VALUE!</v>
      </c>
      <c r="GI3" t="e">
        <f>AND(Validation!B4,"AAAAAF/vz74=")</f>
        <v>#VALUE!</v>
      </c>
      <c r="GJ3" t="e">
        <f>AND(Validation!C4,"AAAAAF/vz78=")</f>
        <v>#VALUE!</v>
      </c>
      <c r="GK3" t="e">
        <f>AND(Validation!D4,"AAAAAF/vz8A=")</f>
        <v>#VALUE!</v>
      </c>
      <c r="GL3" t="e">
        <f>AND(Validation!E4,"AAAAAF/vz8E=")</f>
        <v>#VALUE!</v>
      </c>
      <c r="GM3" t="e">
        <f>AND(Validation!F4,"AAAAAF/vz8I=")</f>
        <v>#VALUE!</v>
      </c>
      <c r="GN3" t="e">
        <f>AND(Validation!G4,"AAAAAF/vz8M=")</f>
        <v>#VALUE!</v>
      </c>
      <c r="GO3" t="e">
        <f>AND(Validation!H4,"AAAAAF/vz8Q=")</f>
        <v>#VALUE!</v>
      </c>
      <c r="GP3" t="e">
        <f>AND(Validation!I4,"AAAAAF/vz8U=")</f>
        <v>#VALUE!</v>
      </c>
      <c r="GQ3" t="e">
        <f>AND(Validation!J4,"AAAAAF/vz8Y=")</f>
        <v>#VALUE!</v>
      </c>
      <c r="GR3" t="e">
        <f>AND(Validation!K4,"AAAAAF/vz8c=")</f>
        <v>#VALUE!</v>
      </c>
      <c r="GS3" t="e">
        <f>AND(Validation!L4,"AAAAAF/vz8g=")</f>
        <v>#VALUE!</v>
      </c>
      <c r="GT3" t="e">
        <f>AND(Validation!M4,"AAAAAF/vz8k=")</f>
        <v>#VALUE!</v>
      </c>
      <c r="GU3" t="e">
        <f>AND(Validation!N4,"AAAAAF/vz8o=")</f>
        <v>#VALUE!</v>
      </c>
      <c r="GV3" t="e">
        <f>AND(Validation!O4,"AAAAAF/vz8s=")</f>
        <v>#VALUE!</v>
      </c>
      <c r="GW3" t="e">
        <f>AND(Validation!P4,"AAAAAF/vz8w=")</f>
        <v>#VALUE!</v>
      </c>
      <c r="GX3">
        <f>IF(Validation!5:5,"AAAAAF/vz80=",0)</f>
        <v>0</v>
      </c>
      <c r="GY3" t="e">
        <f>AND(Validation!A5,"AAAAAF/vz84=")</f>
        <v>#VALUE!</v>
      </c>
      <c r="GZ3" t="e">
        <f>AND(Validation!B5,"AAAAAF/vz88=")</f>
        <v>#VALUE!</v>
      </c>
      <c r="HA3" t="e">
        <f>AND(Validation!C5,"AAAAAF/vz9A=")</f>
        <v>#VALUE!</v>
      </c>
      <c r="HB3" t="e">
        <f>AND(Validation!D5,"AAAAAF/vz9E=")</f>
        <v>#VALUE!</v>
      </c>
      <c r="HC3" t="e">
        <f>AND(Validation!E5,"AAAAAF/vz9I=")</f>
        <v>#VALUE!</v>
      </c>
      <c r="HD3" t="e">
        <f>AND(Validation!F5,"AAAAAF/vz9M=")</f>
        <v>#VALUE!</v>
      </c>
      <c r="HE3" t="e">
        <f>AND(Validation!G5,"AAAAAF/vz9Q=")</f>
        <v>#VALUE!</v>
      </c>
      <c r="HF3" t="e">
        <f>AND(Validation!H5,"AAAAAF/vz9U=")</f>
        <v>#VALUE!</v>
      </c>
      <c r="HG3" t="e">
        <f>AND(Validation!I5,"AAAAAF/vz9Y=")</f>
        <v>#VALUE!</v>
      </c>
      <c r="HH3" t="e">
        <f>AND(Validation!J5,"AAAAAF/vz9c=")</f>
        <v>#VALUE!</v>
      </c>
      <c r="HI3" t="e">
        <f>AND(Validation!K5,"AAAAAF/vz9g=")</f>
        <v>#VALUE!</v>
      </c>
      <c r="HJ3" t="e">
        <f>AND(Validation!L5,"AAAAAF/vz9k=")</f>
        <v>#VALUE!</v>
      </c>
      <c r="HK3" t="e">
        <f>AND(Validation!M5,"AAAAAF/vz9o=")</f>
        <v>#VALUE!</v>
      </c>
      <c r="HL3" t="e">
        <f>AND(Validation!N5,"AAAAAF/vz9s=")</f>
        <v>#VALUE!</v>
      </c>
      <c r="HM3" t="e">
        <f>AND(Validation!O5,"AAAAAF/vz9w=")</f>
        <v>#VALUE!</v>
      </c>
      <c r="HN3" t="e">
        <f>AND(Validation!P5,"AAAAAF/vz90=")</f>
        <v>#VALUE!</v>
      </c>
      <c r="HO3">
        <f>IF(Validation!6:6,"AAAAAF/vz94=",0)</f>
        <v>0</v>
      </c>
      <c r="HP3" t="e">
        <f>AND(Validation!A6,"AAAAAF/vz98=")</f>
        <v>#VALUE!</v>
      </c>
      <c r="HQ3" t="e">
        <f>AND(Validation!B6,"AAAAAF/vz+A=")</f>
        <v>#VALUE!</v>
      </c>
      <c r="HR3" t="e">
        <f>AND(Validation!C6,"AAAAAF/vz+E=")</f>
        <v>#VALUE!</v>
      </c>
      <c r="HS3" t="e">
        <f>AND(Validation!D6,"AAAAAF/vz+I=")</f>
        <v>#VALUE!</v>
      </c>
      <c r="HT3" t="e">
        <f>AND(Validation!E6,"AAAAAF/vz+M=")</f>
        <v>#VALUE!</v>
      </c>
      <c r="HU3" t="e">
        <f>AND(Validation!F6,"AAAAAF/vz+Q=")</f>
        <v>#VALUE!</v>
      </c>
      <c r="HV3" t="e">
        <f>AND(Validation!G6,"AAAAAF/vz+U=")</f>
        <v>#VALUE!</v>
      </c>
      <c r="HW3" t="e">
        <f>AND(Validation!H6,"AAAAAF/vz+Y=")</f>
        <v>#VALUE!</v>
      </c>
      <c r="HX3" t="e">
        <f>AND(Validation!I6,"AAAAAF/vz+c=")</f>
        <v>#VALUE!</v>
      </c>
      <c r="HY3" t="e">
        <f>AND(Validation!J6,"AAAAAF/vz+g=")</f>
        <v>#VALUE!</v>
      </c>
      <c r="HZ3" t="e">
        <f>AND(Validation!K6,"AAAAAF/vz+k=")</f>
        <v>#VALUE!</v>
      </c>
      <c r="IA3" t="e">
        <f>AND(Validation!L6,"AAAAAF/vz+o=")</f>
        <v>#VALUE!</v>
      </c>
      <c r="IB3" t="e">
        <f>AND(Validation!M6,"AAAAAF/vz+s=")</f>
        <v>#VALUE!</v>
      </c>
      <c r="IC3" t="e">
        <f>AND(Validation!N6,"AAAAAF/vz+w=")</f>
        <v>#VALUE!</v>
      </c>
      <c r="ID3" t="e">
        <f>AND(Validation!O6,"AAAAAF/vz+0=")</f>
        <v>#VALUE!</v>
      </c>
      <c r="IE3" t="e">
        <f>AND(Validation!P6,"AAAAAF/vz+4=")</f>
        <v>#VALUE!</v>
      </c>
      <c r="IF3">
        <f>IF(Validation!7:7,"AAAAAF/vz+8=",0)</f>
        <v>0</v>
      </c>
      <c r="IG3" t="e">
        <f>AND(Validation!A7,"AAAAAF/vz/A=")</f>
        <v>#VALUE!</v>
      </c>
      <c r="IH3" t="e">
        <f>AND(Validation!B7,"AAAAAF/vz/E=")</f>
        <v>#VALUE!</v>
      </c>
      <c r="II3" t="e">
        <f>AND(Validation!C7,"AAAAAF/vz/I=")</f>
        <v>#VALUE!</v>
      </c>
      <c r="IJ3" t="e">
        <f>AND(Validation!D7,"AAAAAF/vz/M=")</f>
        <v>#VALUE!</v>
      </c>
      <c r="IK3" t="e">
        <f>AND(Validation!E7,"AAAAAF/vz/Q=")</f>
        <v>#VALUE!</v>
      </c>
      <c r="IL3" t="e">
        <f>AND(Validation!F7,"AAAAAF/vz/U=")</f>
        <v>#VALUE!</v>
      </c>
      <c r="IM3" t="e">
        <f>AND(Validation!G7,"AAAAAF/vz/Y=")</f>
        <v>#VALUE!</v>
      </c>
      <c r="IN3" t="e">
        <f>AND(Validation!H7,"AAAAAF/vz/c=")</f>
        <v>#VALUE!</v>
      </c>
      <c r="IO3" t="e">
        <f>AND(Validation!I7,"AAAAAF/vz/g=")</f>
        <v>#VALUE!</v>
      </c>
      <c r="IP3" t="e">
        <f>AND(Validation!J7,"AAAAAF/vz/k=")</f>
        <v>#VALUE!</v>
      </c>
      <c r="IQ3" t="e">
        <f>AND(Validation!K7,"AAAAAF/vz/o=")</f>
        <v>#VALUE!</v>
      </c>
      <c r="IR3" t="e">
        <f>AND(Validation!L7,"AAAAAF/vz/s=")</f>
        <v>#VALUE!</v>
      </c>
      <c r="IS3" t="e">
        <f>AND(Validation!M7,"AAAAAF/vz/w=")</f>
        <v>#VALUE!</v>
      </c>
      <c r="IT3" t="e">
        <f>AND(Validation!N7,"AAAAAF/vz/0=")</f>
        <v>#VALUE!</v>
      </c>
      <c r="IU3" t="e">
        <f>AND(Validation!O7,"AAAAAF/vz/4=")</f>
        <v>#VALUE!</v>
      </c>
      <c r="IV3" t="e">
        <f>AND(Validation!P7,"AAAAAF/vz/8=")</f>
        <v>#VALUE!</v>
      </c>
    </row>
    <row r="4" spans="1:256" x14ac:dyDescent="0.25">
      <c r="A4">
        <f>IF(Validation!8:8,"AAAAAH335wA=",0)</f>
        <v>0</v>
      </c>
      <c r="B4" t="e">
        <f>AND(Validation!A8,"AAAAAH335wE=")</f>
        <v>#VALUE!</v>
      </c>
      <c r="C4" t="e">
        <f>AND(Validation!B8,"AAAAAH335wI=")</f>
        <v>#VALUE!</v>
      </c>
      <c r="D4" t="e">
        <f>AND(Validation!C8,"AAAAAH335wM=")</f>
        <v>#VALUE!</v>
      </c>
      <c r="E4" t="e">
        <f>AND(Validation!D8,"AAAAAH335wQ=")</f>
        <v>#VALUE!</v>
      </c>
      <c r="F4" t="e">
        <f>AND(Validation!E8,"AAAAAH335wU=")</f>
        <v>#VALUE!</v>
      </c>
      <c r="G4" t="e">
        <f>AND(Validation!F8,"AAAAAH335wY=")</f>
        <v>#VALUE!</v>
      </c>
      <c r="H4" t="e">
        <f>AND(Validation!G8,"AAAAAH335wc=")</f>
        <v>#VALUE!</v>
      </c>
      <c r="I4" t="e">
        <f>AND(Validation!H8,"AAAAAH335wg=")</f>
        <v>#VALUE!</v>
      </c>
      <c r="J4" t="e">
        <f>AND(Validation!I8,"AAAAAH335wk=")</f>
        <v>#VALUE!</v>
      </c>
      <c r="K4" t="e">
        <f>AND(Validation!J8,"AAAAAH335wo=")</f>
        <v>#VALUE!</v>
      </c>
      <c r="L4" t="e">
        <f>AND(Validation!K8,"AAAAAH335ws=")</f>
        <v>#VALUE!</v>
      </c>
      <c r="M4" t="e">
        <f>AND(Validation!L8,"AAAAAH335ww=")</f>
        <v>#VALUE!</v>
      </c>
      <c r="N4" t="e">
        <f>AND(Validation!M8,"AAAAAH335w0=")</f>
        <v>#VALUE!</v>
      </c>
      <c r="O4" t="e">
        <f>AND(Validation!N8,"AAAAAH335w4=")</f>
        <v>#VALUE!</v>
      </c>
      <c r="P4" t="e">
        <f>AND(Validation!O8,"AAAAAH335w8=")</f>
        <v>#VALUE!</v>
      </c>
      <c r="Q4" t="e">
        <f>AND(Validation!P8,"AAAAAH335xA=")</f>
        <v>#VALUE!</v>
      </c>
      <c r="R4">
        <f>IF(Validation!9:9,"AAAAAH335xE=",0)</f>
        <v>0</v>
      </c>
      <c r="S4" t="e">
        <f>AND(Validation!A9,"AAAAAH335xI=")</f>
        <v>#VALUE!</v>
      </c>
      <c r="T4" t="e">
        <f>AND(Validation!B9,"AAAAAH335xM=")</f>
        <v>#VALUE!</v>
      </c>
      <c r="U4" t="e">
        <f>AND(Validation!C9,"AAAAAH335xQ=")</f>
        <v>#VALUE!</v>
      </c>
      <c r="V4" t="e">
        <f>AND(Validation!D9,"AAAAAH335xU=")</f>
        <v>#VALUE!</v>
      </c>
      <c r="W4" t="e">
        <f>AND(Validation!E9,"AAAAAH335xY=")</f>
        <v>#VALUE!</v>
      </c>
      <c r="X4" t="e">
        <f>AND(Validation!F9,"AAAAAH335xc=")</f>
        <v>#VALUE!</v>
      </c>
      <c r="Y4" t="e">
        <f>AND(Validation!G9,"AAAAAH335xg=")</f>
        <v>#VALUE!</v>
      </c>
      <c r="Z4" t="e">
        <f>AND(Validation!H9,"AAAAAH335xk=")</f>
        <v>#VALUE!</v>
      </c>
      <c r="AA4" t="e">
        <f>AND(Validation!I9,"AAAAAH335xo=")</f>
        <v>#VALUE!</v>
      </c>
      <c r="AB4" t="e">
        <f>AND(Validation!J9,"AAAAAH335xs=")</f>
        <v>#VALUE!</v>
      </c>
      <c r="AC4" t="e">
        <f>AND(Validation!K9,"AAAAAH335xw=")</f>
        <v>#VALUE!</v>
      </c>
      <c r="AD4" t="e">
        <f>AND(Validation!L9,"AAAAAH335x0=")</f>
        <v>#VALUE!</v>
      </c>
      <c r="AE4" t="e">
        <f>AND(Validation!M9,"AAAAAH335x4=")</f>
        <v>#VALUE!</v>
      </c>
      <c r="AF4" t="e">
        <f>AND(Validation!N9,"AAAAAH335x8=")</f>
        <v>#VALUE!</v>
      </c>
      <c r="AG4" t="e">
        <f>AND(Validation!O9,"AAAAAH335yA=")</f>
        <v>#VALUE!</v>
      </c>
      <c r="AH4" t="e">
        <f>AND(Validation!P9,"AAAAAH335yE=")</f>
        <v>#VALUE!</v>
      </c>
      <c r="AI4">
        <f>IF(Validation!10:10,"AAAAAH335yI=",0)</f>
        <v>0</v>
      </c>
      <c r="AJ4" t="e">
        <f>AND(Validation!A10,"AAAAAH335yM=")</f>
        <v>#VALUE!</v>
      </c>
      <c r="AK4" t="e">
        <f>AND(Validation!B10,"AAAAAH335yQ=")</f>
        <v>#VALUE!</v>
      </c>
      <c r="AL4" t="e">
        <f>AND(Validation!C10,"AAAAAH335yU=")</f>
        <v>#VALUE!</v>
      </c>
      <c r="AM4" t="e">
        <f>AND(Validation!D10,"AAAAAH335yY=")</f>
        <v>#VALUE!</v>
      </c>
      <c r="AN4" t="e">
        <f>AND(Validation!E10,"AAAAAH335yc=")</f>
        <v>#VALUE!</v>
      </c>
      <c r="AO4" t="e">
        <f>AND(Validation!F10,"AAAAAH335yg=")</f>
        <v>#VALUE!</v>
      </c>
      <c r="AP4" t="e">
        <f>AND(Validation!G10,"AAAAAH335yk=")</f>
        <v>#VALUE!</v>
      </c>
      <c r="AQ4" t="e">
        <f>AND(Validation!H10,"AAAAAH335yo=")</f>
        <v>#VALUE!</v>
      </c>
      <c r="AR4" t="e">
        <f>AND(Validation!I10,"AAAAAH335ys=")</f>
        <v>#VALUE!</v>
      </c>
      <c r="AS4" t="e">
        <f>AND(Validation!J10,"AAAAAH335yw=")</f>
        <v>#VALUE!</v>
      </c>
      <c r="AT4" t="e">
        <f>AND(Validation!K10,"AAAAAH335y0=")</f>
        <v>#VALUE!</v>
      </c>
      <c r="AU4" t="e">
        <f>AND(Validation!L10,"AAAAAH335y4=")</f>
        <v>#VALUE!</v>
      </c>
      <c r="AV4" t="e">
        <f>AND(Validation!M10,"AAAAAH335y8=")</f>
        <v>#VALUE!</v>
      </c>
      <c r="AW4" t="e">
        <f>AND(Validation!N10,"AAAAAH335zA=")</f>
        <v>#VALUE!</v>
      </c>
      <c r="AX4" t="e">
        <f>AND(Validation!O10,"AAAAAH335zE=")</f>
        <v>#VALUE!</v>
      </c>
      <c r="AY4" t="e">
        <f>AND(Validation!P10,"AAAAAH335zI=")</f>
        <v>#VALUE!</v>
      </c>
      <c r="AZ4">
        <f>IF(Validation!11:11,"AAAAAH335zM=",0)</f>
        <v>0</v>
      </c>
      <c r="BA4" t="e">
        <f>AND(Validation!A11,"AAAAAH335zQ=")</f>
        <v>#VALUE!</v>
      </c>
      <c r="BB4" t="e">
        <f>AND(Validation!B11,"AAAAAH335zU=")</f>
        <v>#VALUE!</v>
      </c>
      <c r="BC4" t="e">
        <f>AND(Validation!C11,"AAAAAH335zY=")</f>
        <v>#VALUE!</v>
      </c>
      <c r="BD4" t="e">
        <f>AND(Validation!D11,"AAAAAH335zc=")</f>
        <v>#VALUE!</v>
      </c>
      <c r="BE4" t="e">
        <f>AND(Validation!E11,"AAAAAH335zg=")</f>
        <v>#VALUE!</v>
      </c>
      <c r="BF4" t="e">
        <f>AND(Validation!F11,"AAAAAH335zk=")</f>
        <v>#VALUE!</v>
      </c>
      <c r="BG4" t="e">
        <f>AND(Validation!G11,"AAAAAH335zo=")</f>
        <v>#VALUE!</v>
      </c>
      <c r="BH4" t="e">
        <f>AND(Validation!H11,"AAAAAH335zs=")</f>
        <v>#VALUE!</v>
      </c>
      <c r="BI4" t="e">
        <f>AND(Validation!I11,"AAAAAH335zw=")</f>
        <v>#VALUE!</v>
      </c>
      <c r="BJ4" t="e">
        <f>AND(Validation!J11,"AAAAAH335z0=")</f>
        <v>#VALUE!</v>
      </c>
      <c r="BK4" t="e">
        <f>AND(Validation!K11,"AAAAAH335z4=")</f>
        <v>#VALUE!</v>
      </c>
      <c r="BL4" t="e">
        <f>AND(Validation!L11,"AAAAAH335z8=")</f>
        <v>#VALUE!</v>
      </c>
      <c r="BM4" t="e">
        <f>AND(Validation!M11,"AAAAAH3350A=")</f>
        <v>#VALUE!</v>
      </c>
      <c r="BN4" t="e">
        <f>AND(Validation!N11,"AAAAAH3350E=")</f>
        <v>#VALUE!</v>
      </c>
      <c r="BO4" t="e">
        <f>AND(Validation!O11,"AAAAAH3350I=")</f>
        <v>#VALUE!</v>
      </c>
      <c r="BP4" t="e">
        <f>AND(Validation!P11,"AAAAAH3350M=")</f>
        <v>#VALUE!</v>
      </c>
      <c r="BQ4">
        <f>IF(Validation!12:12,"AAAAAH3350Q=",0)</f>
        <v>0</v>
      </c>
      <c r="BR4" t="e">
        <f>AND(Validation!A12,"AAAAAH3350U=")</f>
        <v>#VALUE!</v>
      </c>
      <c r="BS4" t="e">
        <f>AND(Validation!B12,"AAAAAH3350Y=")</f>
        <v>#VALUE!</v>
      </c>
      <c r="BT4" t="e">
        <f>AND(Validation!C12,"AAAAAH3350c=")</f>
        <v>#VALUE!</v>
      </c>
      <c r="BU4" t="e">
        <f>AND(Validation!D12,"AAAAAH3350g=")</f>
        <v>#VALUE!</v>
      </c>
      <c r="BV4" t="e">
        <f>AND(Validation!E12,"AAAAAH3350k=")</f>
        <v>#VALUE!</v>
      </c>
      <c r="BW4" t="e">
        <f>AND(Validation!F12,"AAAAAH3350o=")</f>
        <v>#VALUE!</v>
      </c>
      <c r="BX4" t="e">
        <f>AND(Validation!G12,"AAAAAH3350s=")</f>
        <v>#VALUE!</v>
      </c>
      <c r="BY4" t="e">
        <f>AND(Validation!H12,"AAAAAH3350w=")</f>
        <v>#VALUE!</v>
      </c>
      <c r="BZ4" t="e">
        <f>AND(Validation!I12,"AAAAAH33500=")</f>
        <v>#VALUE!</v>
      </c>
      <c r="CA4" t="e">
        <f>AND(Validation!J12,"AAAAAH33504=")</f>
        <v>#VALUE!</v>
      </c>
      <c r="CB4" t="e">
        <f>AND(Validation!K12,"AAAAAH33508=")</f>
        <v>#VALUE!</v>
      </c>
      <c r="CC4" t="e">
        <f>AND(Validation!L12,"AAAAAH3351A=")</f>
        <v>#VALUE!</v>
      </c>
      <c r="CD4" t="e">
        <f>AND(Validation!M12,"AAAAAH3351E=")</f>
        <v>#VALUE!</v>
      </c>
      <c r="CE4" t="e">
        <f>AND(Validation!N12,"AAAAAH3351I=")</f>
        <v>#VALUE!</v>
      </c>
      <c r="CF4" t="e">
        <f>AND(Validation!O12,"AAAAAH3351M=")</f>
        <v>#VALUE!</v>
      </c>
      <c r="CG4" t="e">
        <f>AND(Validation!P12,"AAAAAH3351Q=")</f>
        <v>#VALUE!</v>
      </c>
      <c r="CH4">
        <f>IF(Validation!13:13,"AAAAAH3351U=",0)</f>
        <v>0</v>
      </c>
      <c r="CI4" t="e">
        <f>AND(Validation!A13,"AAAAAH3351Y=")</f>
        <v>#VALUE!</v>
      </c>
      <c r="CJ4" t="e">
        <f>AND(Validation!B13,"AAAAAH3351c=")</f>
        <v>#VALUE!</v>
      </c>
      <c r="CK4" t="e">
        <f>AND(Validation!C13,"AAAAAH3351g=")</f>
        <v>#VALUE!</v>
      </c>
      <c r="CL4" t="e">
        <f>AND(Validation!D13,"AAAAAH3351k=")</f>
        <v>#VALUE!</v>
      </c>
      <c r="CM4" t="e">
        <f>AND(Validation!E13,"AAAAAH3351o=")</f>
        <v>#VALUE!</v>
      </c>
      <c r="CN4" t="e">
        <f>AND(Validation!F13,"AAAAAH3351s=")</f>
        <v>#VALUE!</v>
      </c>
      <c r="CO4" t="e">
        <f>AND(Validation!G13,"AAAAAH3351w=")</f>
        <v>#VALUE!</v>
      </c>
      <c r="CP4" t="e">
        <f>AND(Validation!H13,"AAAAAH33510=")</f>
        <v>#VALUE!</v>
      </c>
      <c r="CQ4" t="e">
        <f>AND(Validation!I13,"AAAAAH33514=")</f>
        <v>#VALUE!</v>
      </c>
      <c r="CR4" t="e">
        <f>AND(Validation!J13,"AAAAAH33518=")</f>
        <v>#VALUE!</v>
      </c>
      <c r="CS4" t="e">
        <f>AND(Validation!K13,"AAAAAH3352A=")</f>
        <v>#VALUE!</v>
      </c>
      <c r="CT4" t="e">
        <f>AND(Validation!L13,"AAAAAH3352E=")</f>
        <v>#VALUE!</v>
      </c>
      <c r="CU4" t="e">
        <f>AND(Validation!M13,"AAAAAH3352I=")</f>
        <v>#VALUE!</v>
      </c>
      <c r="CV4" t="e">
        <f>AND(Validation!N13,"AAAAAH3352M=")</f>
        <v>#VALUE!</v>
      </c>
      <c r="CW4" t="e">
        <f>AND(Validation!O13,"AAAAAH3352Q=")</f>
        <v>#VALUE!</v>
      </c>
      <c r="CX4" t="e">
        <f>AND(Validation!P13,"AAAAAH3352U=")</f>
        <v>#VALUE!</v>
      </c>
      <c r="CY4">
        <f>IF(Validation!14:14,"AAAAAH3352Y=",0)</f>
        <v>0</v>
      </c>
      <c r="CZ4" t="e">
        <f>AND(Validation!A14,"AAAAAH3352c=")</f>
        <v>#VALUE!</v>
      </c>
      <c r="DA4" t="e">
        <f>AND(Validation!B14,"AAAAAH3352g=")</f>
        <v>#VALUE!</v>
      </c>
      <c r="DB4" t="e">
        <f>AND(Validation!C14,"AAAAAH3352k=")</f>
        <v>#VALUE!</v>
      </c>
      <c r="DC4" t="e">
        <f>AND(Validation!D14,"AAAAAH3352o=")</f>
        <v>#VALUE!</v>
      </c>
      <c r="DD4" t="e">
        <f>AND(Validation!E14,"AAAAAH3352s=")</f>
        <v>#VALUE!</v>
      </c>
      <c r="DE4" t="e">
        <f>AND(Validation!F14,"AAAAAH3352w=")</f>
        <v>#VALUE!</v>
      </c>
      <c r="DF4" t="e">
        <f>AND(Validation!G14,"AAAAAH33520=")</f>
        <v>#VALUE!</v>
      </c>
      <c r="DG4" t="e">
        <f>AND(Validation!H14,"AAAAAH33524=")</f>
        <v>#VALUE!</v>
      </c>
      <c r="DH4" t="e">
        <f>AND(Validation!I14,"AAAAAH33528=")</f>
        <v>#VALUE!</v>
      </c>
      <c r="DI4" t="e">
        <f>AND(Validation!J14,"AAAAAH3353A=")</f>
        <v>#VALUE!</v>
      </c>
      <c r="DJ4" t="e">
        <f>AND(Validation!K14,"AAAAAH3353E=")</f>
        <v>#VALUE!</v>
      </c>
      <c r="DK4" t="e">
        <f>AND(Validation!L14,"AAAAAH3353I=")</f>
        <v>#VALUE!</v>
      </c>
      <c r="DL4" t="e">
        <f>AND(Validation!M14,"AAAAAH3353M=")</f>
        <v>#VALUE!</v>
      </c>
      <c r="DM4" t="e">
        <f>AND(Validation!N14,"AAAAAH3353Q=")</f>
        <v>#VALUE!</v>
      </c>
      <c r="DN4" t="e">
        <f>AND(Validation!O14,"AAAAAH3353U=")</f>
        <v>#VALUE!</v>
      </c>
      <c r="DO4" t="e">
        <f>AND(Validation!P14,"AAAAAH3353Y=")</f>
        <v>#VALUE!</v>
      </c>
      <c r="DP4">
        <f>IF(Validation!15:15,"AAAAAH3353c=",0)</f>
        <v>0</v>
      </c>
      <c r="DQ4" t="e">
        <f>AND(Validation!A15,"AAAAAH3353g=")</f>
        <v>#VALUE!</v>
      </c>
      <c r="DR4" t="e">
        <f>AND(Validation!B15,"AAAAAH3353k=")</f>
        <v>#VALUE!</v>
      </c>
      <c r="DS4" t="e">
        <f>AND(Validation!C15,"AAAAAH3353o=")</f>
        <v>#VALUE!</v>
      </c>
      <c r="DT4" t="e">
        <f>AND(Validation!D15,"AAAAAH3353s=")</f>
        <v>#VALUE!</v>
      </c>
      <c r="DU4" t="e">
        <f>AND(Validation!E15,"AAAAAH3353w=")</f>
        <v>#VALUE!</v>
      </c>
      <c r="DV4" t="e">
        <f>AND(Validation!F15,"AAAAAH33530=")</f>
        <v>#VALUE!</v>
      </c>
      <c r="DW4" t="e">
        <f>AND(Validation!G15,"AAAAAH33534=")</f>
        <v>#VALUE!</v>
      </c>
      <c r="DX4" t="e">
        <f>AND(Validation!H15,"AAAAAH33538=")</f>
        <v>#VALUE!</v>
      </c>
      <c r="DY4" t="e">
        <f>AND(Validation!I15,"AAAAAH3354A=")</f>
        <v>#VALUE!</v>
      </c>
      <c r="DZ4" t="e">
        <f>AND(Validation!J15,"AAAAAH3354E=")</f>
        <v>#VALUE!</v>
      </c>
      <c r="EA4" t="e">
        <f>AND(Validation!K15,"AAAAAH3354I=")</f>
        <v>#VALUE!</v>
      </c>
      <c r="EB4" t="e">
        <f>AND(Validation!L15,"AAAAAH3354M=")</f>
        <v>#VALUE!</v>
      </c>
      <c r="EC4" t="e">
        <f>AND(Validation!M15,"AAAAAH3354Q=")</f>
        <v>#VALUE!</v>
      </c>
      <c r="ED4" t="e">
        <f>AND(Validation!N15,"AAAAAH3354U=")</f>
        <v>#VALUE!</v>
      </c>
      <c r="EE4" t="e">
        <f>AND(Validation!O15,"AAAAAH3354Y=")</f>
        <v>#VALUE!</v>
      </c>
      <c r="EF4" t="e">
        <f>AND(Validation!P15,"AAAAAH3354c=")</f>
        <v>#VALUE!</v>
      </c>
      <c r="EG4">
        <f>IF(Validation!16:16,"AAAAAH3354g=",0)</f>
        <v>0</v>
      </c>
      <c r="EH4" t="e">
        <f>AND(Validation!A16,"AAAAAH3354k=")</f>
        <v>#VALUE!</v>
      </c>
      <c r="EI4" t="e">
        <f>AND(Validation!B16,"AAAAAH3354o=")</f>
        <v>#VALUE!</v>
      </c>
      <c r="EJ4" t="e">
        <f>AND(Validation!C16,"AAAAAH3354s=")</f>
        <v>#VALUE!</v>
      </c>
      <c r="EK4" t="e">
        <f>AND(Validation!D16,"AAAAAH3354w=")</f>
        <v>#VALUE!</v>
      </c>
      <c r="EL4" t="e">
        <f>AND(Validation!E16,"AAAAAH33540=")</f>
        <v>#VALUE!</v>
      </c>
      <c r="EM4" t="e">
        <f>AND(Validation!F16,"AAAAAH33544=")</f>
        <v>#VALUE!</v>
      </c>
      <c r="EN4" t="e">
        <f>AND(Validation!G16,"AAAAAH33548=")</f>
        <v>#VALUE!</v>
      </c>
      <c r="EO4" t="e">
        <f>AND(Validation!H16,"AAAAAH3355A=")</f>
        <v>#VALUE!</v>
      </c>
      <c r="EP4" t="e">
        <f>AND(Validation!I16,"AAAAAH3355E=")</f>
        <v>#VALUE!</v>
      </c>
      <c r="EQ4" t="e">
        <f>AND(Validation!J16,"AAAAAH3355I=")</f>
        <v>#VALUE!</v>
      </c>
      <c r="ER4" t="e">
        <f>AND(Validation!K16,"AAAAAH3355M=")</f>
        <v>#VALUE!</v>
      </c>
      <c r="ES4" t="e">
        <f>AND(Validation!L16,"AAAAAH3355Q=")</f>
        <v>#VALUE!</v>
      </c>
      <c r="ET4" t="e">
        <f>AND(Validation!M16,"AAAAAH3355U=")</f>
        <v>#VALUE!</v>
      </c>
      <c r="EU4" t="e">
        <f>AND(Validation!N16,"AAAAAH3355Y=")</f>
        <v>#VALUE!</v>
      </c>
      <c r="EV4" t="e">
        <f>AND(Validation!O16,"AAAAAH3355c=")</f>
        <v>#VALUE!</v>
      </c>
      <c r="EW4" t="e">
        <f>AND(Validation!P16,"AAAAAH3355g=")</f>
        <v>#VALUE!</v>
      </c>
      <c r="EX4">
        <f>IF(Validation!17:17,"AAAAAH3355k=",0)</f>
        <v>0</v>
      </c>
      <c r="EY4" t="e">
        <f>AND(Validation!A17,"AAAAAH3355o=")</f>
        <v>#VALUE!</v>
      </c>
      <c r="EZ4" t="e">
        <f>AND(Validation!B17,"AAAAAH3355s=")</f>
        <v>#VALUE!</v>
      </c>
      <c r="FA4" t="e">
        <f>AND(Validation!C17,"AAAAAH3355w=")</f>
        <v>#VALUE!</v>
      </c>
      <c r="FB4" t="e">
        <f>AND(Validation!D17,"AAAAAH33550=")</f>
        <v>#VALUE!</v>
      </c>
      <c r="FC4" t="e">
        <f>AND(Validation!E17,"AAAAAH33554=")</f>
        <v>#VALUE!</v>
      </c>
      <c r="FD4" t="e">
        <f>AND(Validation!F17,"AAAAAH33558=")</f>
        <v>#VALUE!</v>
      </c>
      <c r="FE4" t="e">
        <f>AND(Validation!G17,"AAAAAH3356A=")</f>
        <v>#VALUE!</v>
      </c>
      <c r="FF4" t="e">
        <f>AND(Validation!H17,"AAAAAH3356E=")</f>
        <v>#VALUE!</v>
      </c>
      <c r="FG4" t="e">
        <f>AND(Validation!I17,"AAAAAH3356I=")</f>
        <v>#VALUE!</v>
      </c>
      <c r="FH4" t="e">
        <f>AND(Validation!J17,"AAAAAH3356M=")</f>
        <v>#VALUE!</v>
      </c>
      <c r="FI4" t="e">
        <f>AND(Validation!K17,"AAAAAH3356Q=")</f>
        <v>#VALUE!</v>
      </c>
      <c r="FJ4" t="e">
        <f>AND(Validation!L17,"AAAAAH3356U=")</f>
        <v>#VALUE!</v>
      </c>
      <c r="FK4" t="e">
        <f>AND(Validation!M17,"AAAAAH3356Y=")</f>
        <v>#VALUE!</v>
      </c>
      <c r="FL4" t="e">
        <f>AND(Validation!N17,"AAAAAH3356c=")</f>
        <v>#VALUE!</v>
      </c>
      <c r="FM4" t="e">
        <f>AND(Validation!O17,"AAAAAH3356g=")</f>
        <v>#VALUE!</v>
      </c>
      <c r="FN4" t="e">
        <f>AND(Validation!P17,"AAAAAH3356k=")</f>
        <v>#VALUE!</v>
      </c>
      <c r="FO4">
        <f>IF(Validation!18:18,"AAAAAH3356o=",0)</f>
        <v>0</v>
      </c>
      <c r="FP4" t="e">
        <f>AND(Validation!A18,"AAAAAH3356s=")</f>
        <v>#VALUE!</v>
      </c>
      <c r="FQ4" t="e">
        <f>AND(Validation!B18,"AAAAAH3356w=")</f>
        <v>#VALUE!</v>
      </c>
      <c r="FR4" t="e">
        <f>AND(Validation!C18,"AAAAAH33560=")</f>
        <v>#VALUE!</v>
      </c>
      <c r="FS4" t="e">
        <f>AND(Validation!D18,"AAAAAH33564=")</f>
        <v>#VALUE!</v>
      </c>
      <c r="FT4" t="e">
        <f>AND(Validation!E18,"AAAAAH33568=")</f>
        <v>#VALUE!</v>
      </c>
      <c r="FU4" t="e">
        <f>AND(Validation!F18,"AAAAAH3357A=")</f>
        <v>#VALUE!</v>
      </c>
      <c r="FV4" t="e">
        <f>AND(Validation!G18,"AAAAAH3357E=")</f>
        <v>#VALUE!</v>
      </c>
      <c r="FW4" t="e">
        <f>AND(Validation!H18,"AAAAAH3357I=")</f>
        <v>#VALUE!</v>
      </c>
      <c r="FX4" t="e">
        <f>AND(Validation!I18,"AAAAAH3357M=")</f>
        <v>#VALUE!</v>
      </c>
      <c r="FY4" t="e">
        <f>AND(Validation!J18,"AAAAAH3357Q=")</f>
        <v>#VALUE!</v>
      </c>
      <c r="FZ4" t="e">
        <f>AND(Validation!K18,"AAAAAH3357U=")</f>
        <v>#VALUE!</v>
      </c>
      <c r="GA4" t="e">
        <f>AND(Validation!L18,"AAAAAH3357Y=")</f>
        <v>#VALUE!</v>
      </c>
      <c r="GB4" t="e">
        <f>AND(Validation!M18,"AAAAAH3357c=")</f>
        <v>#VALUE!</v>
      </c>
      <c r="GC4" t="e">
        <f>AND(Validation!N18,"AAAAAH3357g=")</f>
        <v>#VALUE!</v>
      </c>
      <c r="GD4" t="e">
        <f>AND(Validation!O18,"AAAAAH3357k=")</f>
        <v>#VALUE!</v>
      </c>
      <c r="GE4" t="e">
        <f>AND(Validation!P18,"AAAAAH3357o=")</f>
        <v>#VALUE!</v>
      </c>
      <c r="GF4">
        <f>IF(Validation!19:19,"AAAAAH3357s=",0)</f>
        <v>0</v>
      </c>
      <c r="GG4" t="e">
        <f>AND(Validation!A19,"AAAAAH3357w=")</f>
        <v>#VALUE!</v>
      </c>
      <c r="GH4" t="e">
        <f>AND(Validation!B19,"AAAAAH33570=")</f>
        <v>#VALUE!</v>
      </c>
      <c r="GI4" t="e">
        <f>AND(Validation!C19,"AAAAAH33574=")</f>
        <v>#VALUE!</v>
      </c>
      <c r="GJ4" t="e">
        <f>AND(Validation!D19,"AAAAAH33578=")</f>
        <v>#VALUE!</v>
      </c>
      <c r="GK4" t="e">
        <f>AND(Validation!E19,"AAAAAH3358A=")</f>
        <v>#VALUE!</v>
      </c>
      <c r="GL4" t="e">
        <f>AND(Validation!F19,"AAAAAH3358E=")</f>
        <v>#VALUE!</v>
      </c>
      <c r="GM4" t="e">
        <f>AND(Validation!G19,"AAAAAH3358I=")</f>
        <v>#VALUE!</v>
      </c>
      <c r="GN4" t="e">
        <f>AND(Validation!H19,"AAAAAH3358M=")</f>
        <v>#VALUE!</v>
      </c>
      <c r="GO4" t="e">
        <f>AND(Validation!I19,"AAAAAH3358Q=")</f>
        <v>#VALUE!</v>
      </c>
      <c r="GP4" t="e">
        <f>AND(Validation!J19,"AAAAAH3358U=")</f>
        <v>#VALUE!</v>
      </c>
      <c r="GQ4" t="e">
        <f>AND(Validation!K19,"AAAAAH3358Y=")</f>
        <v>#VALUE!</v>
      </c>
      <c r="GR4" t="e">
        <f>AND(Validation!L19,"AAAAAH3358c=")</f>
        <v>#VALUE!</v>
      </c>
      <c r="GS4" t="e">
        <f>AND(Validation!M19,"AAAAAH3358g=")</f>
        <v>#VALUE!</v>
      </c>
      <c r="GT4" t="e">
        <f>AND(Validation!N19,"AAAAAH3358k=")</f>
        <v>#VALUE!</v>
      </c>
      <c r="GU4" t="e">
        <f>AND(Validation!O19,"AAAAAH3358o=")</f>
        <v>#VALUE!</v>
      </c>
      <c r="GV4" t="e">
        <f>AND(Validation!P19,"AAAAAH3358s=")</f>
        <v>#VALUE!</v>
      </c>
      <c r="GW4">
        <f>IF(Validation!20:20,"AAAAAH3358w=",0)</f>
        <v>0</v>
      </c>
      <c r="GX4" t="e">
        <f>AND(Validation!A20,"AAAAAH33580=")</f>
        <v>#VALUE!</v>
      </c>
      <c r="GY4" t="e">
        <f>AND(Validation!B20,"AAAAAH33584=")</f>
        <v>#VALUE!</v>
      </c>
      <c r="GZ4" t="e">
        <f>AND(Validation!C20,"AAAAAH33588=")</f>
        <v>#VALUE!</v>
      </c>
      <c r="HA4" t="e">
        <f>AND(Validation!D20,"AAAAAH3359A=")</f>
        <v>#VALUE!</v>
      </c>
      <c r="HB4" t="e">
        <f>AND(Validation!E20,"AAAAAH3359E=")</f>
        <v>#VALUE!</v>
      </c>
      <c r="HC4" t="e">
        <f>AND(Validation!F20,"AAAAAH3359I=")</f>
        <v>#VALUE!</v>
      </c>
      <c r="HD4" t="e">
        <f>AND(Validation!G20,"AAAAAH3359M=")</f>
        <v>#VALUE!</v>
      </c>
      <c r="HE4" t="e">
        <f>AND(Validation!H20,"AAAAAH3359Q=")</f>
        <v>#VALUE!</v>
      </c>
      <c r="HF4" t="e">
        <f>AND(Validation!I20,"AAAAAH3359U=")</f>
        <v>#VALUE!</v>
      </c>
      <c r="HG4" t="e">
        <f>AND(Validation!J20,"AAAAAH3359Y=")</f>
        <v>#VALUE!</v>
      </c>
      <c r="HH4" t="e">
        <f>AND(Validation!K20,"AAAAAH3359c=")</f>
        <v>#VALUE!</v>
      </c>
      <c r="HI4" t="e">
        <f>AND(Validation!L20,"AAAAAH3359g=")</f>
        <v>#VALUE!</v>
      </c>
      <c r="HJ4" t="e">
        <f>AND(Validation!M20,"AAAAAH3359k=")</f>
        <v>#VALUE!</v>
      </c>
      <c r="HK4" t="e">
        <f>AND(Validation!N20,"AAAAAH3359o=")</f>
        <v>#VALUE!</v>
      </c>
      <c r="HL4" t="e">
        <f>AND(Validation!O20,"AAAAAH3359s=")</f>
        <v>#VALUE!</v>
      </c>
      <c r="HM4" t="e">
        <f>AND(Validation!P20,"AAAAAH3359w=")</f>
        <v>#VALUE!</v>
      </c>
      <c r="HN4">
        <f>IF(Validation!21:21,"AAAAAH33590=",0)</f>
        <v>0</v>
      </c>
      <c r="HO4" t="e">
        <f>AND(Validation!A21,"AAAAAH33594=")</f>
        <v>#VALUE!</v>
      </c>
      <c r="HP4" t="e">
        <f>AND(Validation!B21,"AAAAAH33598=")</f>
        <v>#VALUE!</v>
      </c>
      <c r="HQ4" t="e">
        <f>AND(Validation!C21,"AAAAAH335+A=")</f>
        <v>#VALUE!</v>
      </c>
      <c r="HR4" t="e">
        <f>AND(Validation!D21,"AAAAAH335+E=")</f>
        <v>#VALUE!</v>
      </c>
      <c r="HS4" t="e">
        <f>AND(Validation!E21,"AAAAAH335+I=")</f>
        <v>#VALUE!</v>
      </c>
      <c r="HT4" t="e">
        <f>AND(Validation!F21,"AAAAAH335+M=")</f>
        <v>#VALUE!</v>
      </c>
      <c r="HU4" t="e">
        <f>AND(Validation!G21,"AAAAAH335+Q=")</f>
        <v>#VALUE!</v>
      </c>
      <c r="HV4" t="e">
        <f>AND(Validation!H21,"AAAAAH335+U=")</f>
        <v>#VALUE!</v>
      </c>
      <c r="HW4" t="e">
        <f>AND(Validation!I21,"AAAAAH335+Y=")</f>
        <v>#VALUE!</v>
      </c>
      <c r="HX4" t="e">
        <f>AND(Validation!J21,"AAAAAH335+c=")</f>
        <v>#VALUE!</v>
      </c>
      <c r="HY4" t="e">
        <f>AND(Validation!K21,"AAAAAH335+g=")</f>
        <v>#VALUE!</v>
      </c>
      <c r="HZ4" t="e">
        <f>AND(Validation!L21,"AAAAAH335+k=")</f>
        <v>#VALUE!</v>
      </c>
      <c r="IA4" t="e">
        <f>AND(Validation!M21,"AAAAAH335+o=")</f>
        <v>#VALUE!</v>
      </c>
      <c r="IB4" t="e">
        <f>AND(Validation!N21,"AAAAAH335+s=")</f>
        <v>#VALUE!</v>
      </c>
      <c r="IC4" t="e">
        <f>AND(Validation!O21,"AAAAAH335+w=")</f>
        <v>#VALUE!</v>
      </c>
      <c r="ID4" t="e">
        <f>AND(Validation!P21,"AAAAAH335+0=")</f>
        <v>#VALUE!</v>
      </c>
      <c r="IE4">
        <f>IF(Validation!22:22,"AAAAAH335+4=",0)</f>
        <v>0</v>
      </c>
      <c r="IF4" t="e">
        <f>AND(Validation!A22,"AAAAAH335+8=")</f>
        <v>#VALUE!</v>
      </c>
      <c r="IG4" t="e">
        <f>AND(Validation!B22,"AAAAAH335/A=")</f>
        <v>#VALUE!</v>
      </c>
      <c r="IH4" t="e">
        <f>AND(Validation!C22,"AAAAAH335/E=")</f>
        <v>#VALUE!</v>
      </c>
      <c r="II4" t="e">
        <f>AND(Validation!D22,"AAAAAH335/I=")</f>
        <v>#VALUE!</v>
      </c>
      <c r="IJ4" t="e">
        <f>AND(Validation!E22,"AAAAAH335/M=")</f>
        <v>#VALUE!</v>
      </c>
      <c r="IK4" t="e">
        <f>AND(Validation!F22,"AAAAAH335/Q=")</f>
        <v>#VALUE!</v>
      </c>
      <c r="IL4" t="e">
        <f>AND(Validation!G22,"AAAAAH335/U=")</f>
        <v>#VALUE!</v>
      </c>
      <c r="IM4" t="e">
        <f>AND(Validation!H22,"AAAAAH335/Y=")</f>
        <v>#VALUE!</v>
      </c>
      <c r="IN4" t="e">
        <f>AND(Validation!I22,"AAAAAH335/c=")</f>
        <v>#VALUE!</v>
      </c>
      <c r="IO4" t="e">
        <f>AND(Validation!J22,"AAAAAH335/g=")</f>
        <v>#VALUE!</v>
      </c>
      <c r="IP4" t="e">
        <f>AND(Validation!K22,"AAAAAH335/k=")</f>
        <v>#VALUE!</v>
      </c>
      <c r="IQ4" t="e">
        <f>AND(Validation!L22,"AAAAAH335/o=")</f>
        <v>#VALUE!</v>
      </c>
      <c r="IR4" t="e">
        <f>AND(Validation!M22,"AAAAAH335/s=")</f>
        <v>#VALUE!</v>
      </c>
      <c r="IS4" t="e">
        <f>AND(Validation!N22,"AAAAAH335/w=")</f>
        <v>#VALUE!</v>
      </c>
      <c r="IT4" t="e">
        <f>AND(Validation!O22,"AAAAAH335/0=")</f>
        <v>#VALUE!</v>
      </c>
      <c r="IU4" t="e">
        <f>AND(Validation!P22,"AAAAAH335/4=")</f>
        <v>#VALUE!</v>
      </c>
      <c r="IV4">
        <f>IF(Validation!23:23,"AAAAAH335/8=",0)</f>
        <v>0</v>
      </c>
    </row>
    <row r="5" spans="1:256" x14ac:dyDescent="0.25">
      <c r="A5" t="e">
        <f>AND(Validation!A23,"AAAAAG/3YwA=")</f>
        <v>#VALUE!</v>
      </c>
      <c r="B5" t="e">
        <f>AND(Validation!B23,"AAAAAG/3YwE=")</f>
        <v>#VALUE!</v>
      </c>
      <c r="C5" t="e">
        <f>AND(Validation!C23,"AAAAAG/3YwI=")</f>
        <v>#VALUE!</v>
      </c>
      <c r="D5" t="e">
        <f>AND(Validation!D23,"AAAAAG/3YwM=")</f>
        <v>#VALUE!</v>
      </c>
      <c r="E5" t="e">
        <f>AND(Validation!E23,"AAAAAG/3YwQ=")</f>
        <v>#VALUE!</v>
      </c>
      <c r="F5" t="e">
        <f>AND(Validation!F23,"AAAAAG/3YwU=")</f>
        <v>#VALUE!</v>
      </c>
      <c r="G5" t="e">
        <f>AND(Validation!G23,"AAAAAG/3YwY=")</f>
        <v>#VALUE!</v>
      </c>
      <c r="H5" t="e">
        <f>AND(Validation!H23,"AAAAAG/3Ywc=")</f>
        <v>#VALUE!</v>
      </c>
      <c r="I5" t="e">
        <f>AND(Validation!I23,"AAAAAG/3Ywg=")</f>
        <v>#VALUE!</v>
      </c>
      <c r="J5" t="e">
        <f>AND(Validation!J23,"AAAAAG/3Ywk=")</f>
        <v>#VALUE!</v>
      </c>
      <c r="K5" t="e">
        <f>AND(Validation!K23,"AAAAAG/3Ywo=")</f>
        <v>#VALUE!</v>
      </c>
      <c r="L5" t="e">
        <f>AND(Validation!L23,"AAAAAG/3Yws=")</f>
        <v>#VALUE!</v>
      </c>
      <c r="M5" t="e">
        <f>AND(Validation!M23,"AAAAAG/3Yww=")</f>
        <v>#VALUE!</v>
      </c>
      <c r="N5" t="e">
        <f>AND(Validation!N23,"AAAAAG/3Yw0=")</f>
        <v>#VALUE!</v>
      </c>
      <c r="O5" t="e">
        <f>AND(Validation!O23,"AAAAAG/3Yw4=")</f>
        <v>#VALUE!</v>
      </c>
      <c r="P5" t="e">
        <f>AND(Validation!P23,"AAAAAG/3Yw8=")</f>
        <v>#VALUE!</v>
      </c>
      <c r="Q5">
        <f>IF(Validation!24:24,"AAAAAG/3YxA=",0)</f>
        <v>0</v>
      </c>
      <c r="R5" t="e">
        <f>AND(Validation!A24,"AAAAAG/3YxE=")</f>
        <v>#VALUE!</v>
      </c>
      <c r="S5" t="e">
        <f>AND(Validation!B24,"AAAAAG/3YxI=")</f>
        <v>#VALUE!</v>
      </c>
      <c r="T5" t="e">
        <f>AND(Validation!C24,"AAAAAG/3YxM=")</f>
        <v>#VALUE!</v>
      </c>
      <c r="U5" t="e">
        <f>AND(Validation!D24,"AAAAAG/3YxQ=")</f>
        <v>#VALUE!</v>
      </c>
      <c r="V5" t="e">
        <f>AND(Validation!E24,"AAAAAG/3YxU=")</f>
        <v>#VALUE!</v>
      </c>
      <c r="W5" t="e">
        <f>AND(Validation!F24,"AAAAAG/3YxY=")</f>
        <v>#VALUE!</v>
      </c>
      <c r="X5" t="e">
        <f>AND(Validation!G24,"AAAAAG/3Yxc=")</f>
        <v>#VALUE!</v>
      </c>
      <c r="Y5" t="e">
        <f>AND(Validation!H24,"AAAAAG/3Yxg=")</f>
        <v>#VALUE!</v>
      </c>
      <c r="Z5" t="e">
        <f>AND(Validation!I24,"AAAAAG/3Yxk=")</f>
        <v>#VALUE!</v>
      </c>
      <c r="AA5" t="e">
        <f>AND(Validation!J24,"AAAAAG/3Yxo=")</f>
        <v>#VALUE!</v>
      </c>
      <c r="AB5" t="e">
        <f>AND(Validation!K24,"AAAAAG/3Yxs=")</f>
        <v>#VALUE!</v>
      </c>
      <c r="AC5" t="e">
        <f>AND(Validation!L24,"AAAAAG/3Yxw=")</f>
        <v>#VALUE!</v>
      </c>
      <c r="AD5" t="e">
        <f>AND(Validation!M24,"AAAAAG/3Yx0=")</f>
        <v>#VALUE!</v>
      </c>
      <c r="AE5" t="e">
        <f>AND(Validation!N24,"AAAAAG/3Yx4=")</f>
        <v>#VALUE!</v>
      </c>
      <c r="AF5" t="e">
        <f>AND(Validation!O24,"AAAAAG/3Yx8=")</f>
        <v>#VALUE!</v>
      </c>
      <c r="AG5" t="e">
        <f>AND(Validation!P24,"AAAAAG/3YyA=")</f>
        <v>#VALUE!</v>
      </c>
      <c r="AH5">
        <f>IF(Validation!25:25,"AAAAAG/3YyE=",0)</f>
        <v>0</v>
      </c>
      <c r="AI5" t="e">
        <f>AND(Validation!A25,"AAAAAG/3YyI=")</f>
        <v>#VALUE!</v>
      </c>
      <c r="AJ5" t="e">
        <f>AND(Validation!B25,"AAAAAG/3YyM=")</f>
        <v>#VALUE!</v>
      </c>
      <c r="AK5" t="e">
        <f>AND(Validation!C25,"AAAAAG/3YyQ=")</f>
        <v>#VALUE!</v>
      </c>
      <c r="AL5" t="e">
        <f>AND(Validation!D25,"AAAAAG/3YyU=")</f>
        <v>#VALUE!</v>
      </c>
      <c r="AM5" t="e">
        <f>AND(Validation!E25,"AAAAAG/3YyY=")</f>
        <v>#VALUE!</v>
      </c>
      <c r="AN5" t="e">
        <f>AND(Validation!F25,"AAAAAG/3Yyc=")</f>
        <v>#VALUE!</v>
      </c>
      <c r="AO5" t="e">
        <f>AND(Validation!G25,"AAAAAG/3Yyg=")</f>
        <v>#VALUE!</v>
      </c>
      <c r="AP5" t="e">
        <f>AND(Validation!H25,"AAAAAG/3Yyk=")</f>
        <v>#VALUE!</v>
      </c>
      <c r="AQ5" t="e">
        <f>AND(Validation!I25,"AAAAAG/3Yyo=")</f>
        <v>#VALUE!</v>
      </c>
      <c r="AR5" t="e">
        <f>AND(Validation!J25,"AAAAAG/3Yys=")</f>
        <v>#VALUE!</v>
      </c>
      <c r="AS5" t="e">
        <f>AND(Validation!K25,"AAAAAG/3Yyw=")</f>
        <v>#VALUE!</v>
      </c>
      <c r="AT5" t="e">
        <f>AND(Validation!L25,"AAAAAG/3Yy0=")</f>
        <v>#VALUE!</v>
      </c>
      <c r="AU5" t="e">
        <f>AND(Validation!M25,"AAAAAG/3Yy4=")</f>
        <v>#VALUE!</v>
      </c>
      <c r="AV5" t="e">
        <f>AND(Validation!N25,"AAAAAG/3Yy8=")</f>
        <v>#VALUE!</v>
      </c>
      <c r="AW5" t="e">
        <f>AND(Validation!O25,"AAAAAG/3YzA=")</f>
        <v>#VALUE!</v>
      </c>
      <c r="AX5" t="e">
        <f>AND(Validation!P25,"AAAAAG/3YzE=")</f>
        <v>#VALUE!</v>
      </c>
      <c r="AY5">
        <f>IF(Validation!26:26,"AAAAAG/3YzI=",0)</f>
        <v>0</v>
      </c>
      <c r="AZ5" t="e">
        <f>AND(Validation!A26,"AAAAAG/3YzM=")</f>
        <v>#VALUE!</v>
      </c>
      <c r="BA5" t="e">
        <f>AND(Validation!B26,"AAAAAG/3YzQ=")</f>
        <v>#VALUE!</v>
      </c>
      <c r="BB5" t="e">
        <f>AND(Validation!C26,"AAAAAG/3YzU=")</f>
        <v>#VALUE!</v>
      </c>
      <c r="BC5" t="e">
        <f>AND(Validation!D26,"AAAAAG/3YzY=")</f>
        <v>#VALUE!</v>
      </c>
      <c r="BD5" t="e">
        <f>AND(Validation!E26,"AAAAAG/3Yzc=")</f>
        <v>#VALUE!</v>
      </c>
      <c r="BE5" t="e">
        <f>AND(Validation!F26,"AAAAAG/3Yzg=")</f>
        <v>#VALUE!</v>
      </c>
      <c r="BF5" t="e">
        <f>AND(Validation!G26,"AAAAAG/3Yzk=")</f>
        <v>#VALUE!</v>
      </c>
      <c r="BG5" t="e">
        <f>AND(Validation!H26,"AAAAAG/3Yzo=")</f>
        <v>#VALUE!</v>
      </c>
      <c r="BH5" t="e">
        <f>AND(Validation!I26,"AAAAAG/3Yzs=")</f>
        <v>#VALUE!</v>
      </c>
      <c r="BI5" t="e">
        <f>AND(Validation!J26,"AAAAAG/3Yzw=")</f>
        <v>#VALUE!</v>
      </c>
      <c r="BJ5" t="e">
        <f>AND(Validation!K26,"AAAAAG/3Yz0=")</f>
        <v>#VALUE!</v>
      </c>
      <c r="BK5" t="e">
        <f>AND(Validation!L26,"AAAAAG/3Yz4=")</f>
        <v>#VALUE!</v>
      </c>
      <c r="BL5" t="e">
        <f>AND(Validation!M26,"AAAAAG/3Yz8=")</f>
        <v>#VALUE!</v>
      </c>
      <c r="BM5" t="e">
        <f>AND(Validation!N26,"AAAAAG/3Y0A=")</f>
        <v>#VALUE!</v>
      </c>
      <c r="BN5" t="e">
        <f>AND(Validation!O26,"AAAAAG/3Y0E=")</f>
        <v>#VALUE!</v>
      </c>
      <c r="BO5" t="e">
        <f>AND(Validation!P26,"AAAAAG/3Y0I=")</f>
        <v>#VALUE!</v>
      </c>
      <c r="BP5">
        <f>IF(Validation!27:27,"AAAAAG/3Y0M=",0)</f>
        <v>0</v>
      </c>
      <c r="BQ5" t="e">
        <f>AND(Validation!A27,"AAAAAG/3Y0Q=")</f>
        <v>#VALUE!</v>
      </c>
      <c r="BR5" t="e">
        <f>AND(Validation!B27,"AAAAAG/3Y0U=")</f>
        <v>#VALUE!</v>
      </c>
      <c r="BS5" t="e">
        <f>AND(Validation!C27,"AAAAAG/3Y0Y=")</f>
        <v>#VALUE!</v>
      </c>
      <c r="BT5" t="e">
        <f>AND(Validation!D27,"AAAAAG/3Y0c=")</f>
        <v>#VALUE!</v>
      </c>
      <c r="BU5" t="e">
        <f>AND(Validation!E27,"AAAAAG/3Y0g=")</f>
        <v>#VALUE!</v>
      </c>
      <c r="BV5" t="e">
        <f>AND(Validation!F27,"AAAAAG/3Y0k=")</f>
        <v>#VALUE!</v>
      </c>
      <c r="BW5" t="e">
        <f>AND(Validation!G27,"AAAAAG/3Y0o=")</f>
        <v>#VALUE!</v>
      </c>
      <c r="BX5" t="e">
        <f>AND(Validation!H27,"AAAAAG/3Y0s=")</f>
        <v>#VALUE!</v>
      </c>
      <c r="BY5" t="e">
        <f>AND(Validation!I27,"AAAAAG/3Y0w=")</f>
        <v>#VALUE!</v>
      </c>
      <c r="BZ5" t="e">
        <f>AND(Validation!J27,"AAAAAG/3Y00=")</f>
        <v>#VALUE!</v>
      </c>
      <c r="CA5" t="e">
        <f>AND(Validation!K27,"AAAAAG/3Y04=")</f>
        <v>#VALUE!</v>
      </c>
      <c r="CB5" t="e">
        <f>AND(Validation!L27,"AAAAAG/3Y08=")</f>
        <v>#VALUE!</v>
      </c>
      <c r="CC5" t="e">
        <f>AND(Validation!M27,"AAAAAG/3Y1A=")</f>
        <v>#VALUE!</v>
      </c>
      <c r="CD5" t="e">
        <f>AND(Validation!N27,"AAAAAG/3Y1E=")</f>
        <v>#VALUE!</v>
      </c>
      <c r="CE5" t="e">
        <f>AND(Validation!O27,"AAAAAG/3Y1I=")</f>
        <v>#VALUE!</v>
      </c>
      <c r="CF5" t="e">
        <f>AND(Validation!P27,"AAAAAG/3Y1M=")</f>
        <v>#VALUE!</v>
      </c>
      <c r="CG5">
        <f>IF(Validation!28:28,"AAAAAG/3Y1Q=",0)</f>
        <v>0</v>
      </c>
      <c r="CH5">
        <f>IF(Validation!29:29,"AAAAAG/3Y1U=",0)</f>
        <v>0</v>
      </c>
      <c r="CI5">
        <f>IF(Validation!30:30,"AAAAAG/3Y1Y=",0)</f>
        <v>0</v>
      </c>
      <c r="CJ5">
        <f>IF(Validation!31:31,"AAAAAG/3Y1c=",0)</f>
        <v>0</v>
      </c>
      <c r="CK5">
        <f>IF(Validation!32:32,"AAAAAG/3Y1g=",0)</f>
        <v>0</v>
      </c>
      <c r="CL5">
        <f>IF(Validation!33:33,"AAAAAG/3Y1k=",0)</f>
        <v>0</v>
      </c>
      <c r="CM5">
        <f>IF(Validation!A:A,"AAAAAG/3Y1o=",0)</f>
        <v>0</v>
      </c>
      <c r="CN5" t="e">
        <f>IF(Validation!B:B,"AAAAAG/3Y1s=",0)</f>
        <v>#VALUE!</v>
      </c>
      <c r="CO5" t="str">
        <f>IF(Validation!C:C,"AAAAAG/3Y1w=",0)</f>
        <v>AAAAAG/3Y1w=</v>
      </c>
      <c r="CP5">
        <f>IF(Validation!D:D,"AAAAAG/3Y10=",0)</f>
        <v>0</v>
      </c>
      <c r="CQ5" t="e">
        <f>IF(Validation!E:E,"AAAAAG/3Y14=",0)</f>
        <v>#VALUE!</v>
      </c>
      <c r="CR5">
        <f>IF(Validation!F:F,"AAAAAG/3Y18=",0)</f>
        <v>0</v>
      </c>
      <c r="CS5">
        <f>IF(Validation!G:G,"AAAAAG/3Y2A=",0)</f>
        <v>0</v>
      </c>
      <c r="CT5">
        <f>IF(Validation!H:H,"AAAAAG/3Y2E=",0)</f>
        <v>0</v>
      </c>
      <c r="CU5" t="e">
        <f>IF(Validation!I:I,"AAAAAG/3Y2I=",0)</f>
        <v>#VALUE!</v>
      </c>
      <c r="CV5" t="str">
        <f>IF(Validation!J:J,"AAAAAG/3Y2M=",0)</f>
        <v>AAAAAG/3Y2M=</v>
      </c>
      <c r="CW5" t="str">
        <f>IF(Validation!K:K,"AAAAAG/3Y2Q=",0)</f>
        <v>AAAAAG/3Y2Q=</v>
      </c>
      <c r="CX5">
        <f>IF(Validation!L:L,"AAAAAG/3Y2U=",0)</f>
        <v>0</v>
      </c>
      <c r="CY5" t="str">
        <f>IF(Validation!M:M,"AAAAAG/3Y2Y=",0)</f>
        <v>AAAAAG/3Y2Y=</v>
      </c>
      <c r="CZ5" t="str">
        <f>IF(Validation!N:N,"AAAAAG/3Y2c=",0)</f>
        <v>AAAAAG/3Y2c=</v>
      </c>
      <c r="DA5">
        <f>IF(Validation!O:O,"AAAAAG/3Y2g=",0)</f>
        <v>0</v>
      </c>
      <c r="DB5">
        <f>IF(Validation!P:P,"AAAAAG/3Y2k=",0)</f>
        <v>0</v>
      </c>
      <c r="DC5">
        <f>IF(calc!1:1,"AAAAAG/3Y2o=",0)</f>
        <v>0</v>
      </c>
      <c r="DD5" t="e">
        <f>AND(calc!A1,"AAAAAG/3Y2s=")</f>
        <v>#VALUE!</v>
      </c>
      <c r="DE5" t="e">
        <f>AND(calc!B1,"AAAAAG/3Y2w=")</f>
        <v>#VALUE!</v>
      </c>
      <c r="DF5" t="e">
        <f>AND(calc!C1,"AAAAAG/3Y20=")</f>
        <v>#VALUE!</v>
      </c>
      <c r="DG5">
        <f>IF(calc!2:2,"AAAAAG/3Y24=",0)</f>
        <v>0</v>
      </c>
      <c r="DH5" t="e">
        <f>AND(calc!A2,"AAAAAG/3Y28=")</f>
        <v>#VALUE!</v>
      </c>
      <c r="DI5" t="e">
        <f>AND(calc!B2,"AAAAAG/3Y3A=")</f>
        <v>#VALUE!</v>
      </c>
      <c r="DJ5" t="e">
        <f>AND(calc!C2,"AAAAAG/3Y3E=")</f>
        <v>#VALUE!</v>
      </c>
      <c r="DK5">
        <f>IF(calc!3:3,"AAAAAG/3Y3I=",0)</f>
        <v>0</v>
      </c>
      <c r="DL5" t="e">
        <f>AND(calc!A3,"AAAAAG/3Y3M=")</f>
        <v>#VALUE!</v>
      </c>
      <c r="DM5" t="e">
        <f>AND(calc!B3,"AAAAAG/3Y3Q=")</f>
        <v>#VALUE!</v>
      </c>
      <c r="DN5" t="e">
        <f>AND(calc!C3,"AAAAAG/3Y3U=")</f>
        <v>#VALUE!</v>
      </c>
      <c r="DO5">
        <f>IF(calc!4:4,"AAAAAG/3Y3Y=",0)</f>
        <v>0</v>
      </c>
      <c r="DP5" t="e">
        <f>AND(calc!A4,"AAAAAG/3Y3c=")</f>
        <v>#VALUE!</v>
      </c>
      <c r="DQ5" t="e">
        <f>AND(calc!B4,"AAAAAG/3Y3g=")</f>
        <v>#VALUE!</v>
      </c>
      <c r="DR5" t="e">
        <f>AND(calc!C4,"AAAAAG/3Y3k=")</f>
        <v>#VALUE!</v>
      </c>
      <c r="DS5">
        <f>IF(calc!5:5,"AAAAAG/3Y3o=",0)</f>
        <v>0</v>
      </c>
      <c r="DT5" t="e">
        <f>AND(calc!A5,"AAAAAG/3Y3s=")</f>
        <v>#VALUE!</v>
      </c>
      <c r="DU5" t="e">
        <f>AND(calc!B5,"AAAAAG/3Y3w=")</f>
        <v>#VALUE!</v>
      </c>
      <c r="DV5" t="e">
        <f>AND(calc!C5,"AAAAAG/3Y30=")</f>
        <v>#VALUE!</v>
      </c>
      <c r="DW5">
        <f>IF(calc!6:6,"AAAAAG/3Y34=",0)</f>
        <v>0</v>
      </c>
      <c r="DX5" t="e">
        <f>AND(calc!A6,"AAAAAG/3Y38=")</f>
        <v>#VALUE!</v>
      </c>
      <c r="DY5" t="e">
        <f>AND(calc!B6,"AAAAAG/3Y4A=")</f>
        <v>#VALUE!</v>
      </c>
      <c r="DZ5" t="e">
        <f>AND(calc!C6,"AAAAAG/3Y4E=")</f>
        <v>#VALUE!</v>
      </c>
      <c r="EA5">
        <f>IF(calc!7:7,"AAAAAG/3Y4I=",0)</f>
        <v>0</v>
      </c>
      <c r="EB5" t="e">
        <f>AND(calc!A7,"AAAAAG/3Y4M=")</f>
        <v>#VALUE!</v>
      </c>
      <c r="EC5" t="e">
        <f>AND(calc!B7,"AAAAAG/3Y4Q=")</f>
        <v>#VALUE!</v>
      </c>
      <c r="ED5" t="e">
        <f>AND(calc!C7,"AAAAAG/3Y4U=")</f>
        <v>#VALUE!</v>
      </c>
      <c r="EE5">
        <f>IF(calc!8:8,"AAAAAG/3Y4Y=",0)</f>
        <v>0</v>
      </c>
      <c r="EF5" t="e">
        <f>AND(calc!A8,"AAAAAG/3Y4c=")</f>
        <v>#VALUE!</v>
      </c>
      <c r="EG5" t="e">
        <f>AND(calc!B8,"AAAAAG/3Y4g=")</f>
        <v>#VALUE!</v>
      </c>
      <c r="EH5" t="e">
        <f>AND(calc!C8,"AAAAAG/3Y4k=")</f>
        <v>#VALUE!</v>
      </c>
      <c r="EI5">
        <f>IF(calc!9:9,"AAAAAG/3Y4o=",0)</f>
        <v>0</v>
      </c>
      <c r="EJ5" t="e">
        <f>AND(calc!A9,"AAAAAG/3Y4s=")</f>
        <v>#VALUE!</v>
      </c>
      <c r="EK5" t="e">
        <f>AND(calc!B9,"AAAAAG/3Y4w=")</f>
        <v>#VALUE!</v>
      </c>
      <c r="EL5" t="e">
        <f>AND(calc!C9,"AAAAAG/3Y40=")</f>
        <v>#VALUE!</v>
      </c>
      <c r="EM5">
        <f>IF(calc!10:10,"AAAAAG/3Y44=",0)</f>
        <v>0</v>
      </c>
      <c r="EN5" t="e">
        <f>AND(calc!A10,"AAAAAG/3Y48=")</f>
        <v>#VALUE!</v>
      </c>
      <c r="EO5" t="e">
        <f>AND(calc!B10,"AAAAAG/3Y5A=")</f>
        <v>#VALUE!</v>
      </c>
      <c r="EP5" t="e">
        <f>AND(calc!C10,"AAAAAG/3Y5E=")</f>
        <v>#VALUE!</v>
      </c>
      <c r="EQ5">
        <f>IF(calc!11:11,"AAAAAG/3Y5I=",0)</f>
        <v>0</v>
      </c>
      <c r="ER5" t="e">
        <f>AND(calc!A11,"AAAAAG/3Y5M=")</f>
        <v>#VALUE!</v>
      </c>
      <c r="ES5" t="e">
        <f>AND(calc!B11,"AAAAAG/3Y5Q=")</f>
        <v>#VALUE!</v>
      </c>
      <c r="ET5" t="e">
        <f>AND(calc!C11,"AAAAAG/3Y5U=")</f>
        <v>#VALUE!</v>
      </c>
      <c r="EU5">
        <f>IF(calc!12:12,"AAAAAG/3Y5Y=",0)</f>
        <v>0</v>
      </c>
      <c r="EV5" t="e">
        <f>AND(calc!A12,"AAAAAG/3Y5c=")</f>
        <v>#VALUE!</v>
      </c>
      <c r="EW5" t="e">
        <f>AND(calc!B12,"AAAAAG/3Y5g=")</f>
        <v>#VALUE!</v>
      </c>
      <c r="EX5" t="e">
        <f>AND(calc!C12,"AAAAAG/3Y5k=")</f>
        <v>#VALUE!</v>
      </c>
      <c r="EY5">
        <f>IF(calc!13:13,"AAAAAG/3Y5o=",0)</f>
        <v>0</v>
      </c>
      <c r="EZ5" t="e">
        <f>AND(calc!A13,"AAAAAG/3Y5s=")</f>
        <v>#VALUE!</v>
      </c>
      <c r="FA5" t="e">
        <f>AND(calc!B13,"AAAAAG/3Y5w=")</f>
        <v>#VALUE!</v>
      </c>
      <c r="FB5" t="e">
        <f>AND(calc!C13,"AAAAAG/3Y50=")</f>
        <v>#VALUE!</v>
      </c>
      <c r="FC5">
        <f>IF(calc!14:14,"AAAAAG/3Y54=",0)</f>
        <v>0</v>
      </c>
      <c r="FD5" t="e">
        <f>AND(calc!A14,"AAAAAG/3Y58=")</f>
        <v>#VALUE!</v>
      </c>
      <c r="FE5" t="e">
        <f>AND(calc!B14,"AAAAAG/3Y6A=")</f>
        <v>#VALUE!</v>
      </c>
      <c r="FF5" t="e">
        <f>AND(calc!C14,"AAAAAG/3Y6E=")</f>
        <v>#VALUE!</v>
      </c>
      <c r="FG5">
        <f>IF(calc!15:15,"AAAAAG/3Y6I=",0)</f>
        <v>0</v>
      </c>
      <c r="FH5" t="e">
        <f>AND(calc!A15,"AAAAAG/3Y6M=")</f>
        <v>#VALUE!</v>
      </c>
      <c r="FI5" t="e">
        <f>AND(calc!B15,"AAAAAG/3Y6Q=")</f>
        <v>#VALUE!</v>
      </c>
      <c r="FJ5" t="e">
        <f>AND(calc!C15,"AAAAAG/3Y6U=")</f>
        <v>#VALUE!</v>
      </c>
      <c r="FK5">
        <f>IF(calc!16:16,"AAAAAG/3Y6Y=",0)</f>
        <v>0</v>
      </c>
      <c r="FL5" t="e">
        <f>AND(calc!A16,"AAAAAG/3Y6c=")</f>
        <v>#VALUE!</v>
      </c>
      <c r="FM5" t="e">
        <f>AND(calc!B16,"AAAAAG/3Y6g=")</f>
        <v>#VALUE!</v>
      </c>
      <c r="FN5" t="e">
        <f>AND(calc!C16,"AAAAAG/3Y6k=")</f>
        <v>#VALUE!</v>
      </c>
      <c r="FO5">
        <f>IF(calc!17:17,"AAAAAG/3Y6o=",0)</f>
        <v>0</v>
      </c>
      <c r="FP5" t="e">
        <f>AND(calc!A17,"AAAAAG/3Y6s=")</f>
        <v>#VALUE!</v>
      </c>
      <c r="FQ5" t="e">
        <f>AND(calc!B17,"AAAAAG/3Y6w=")</f>
        <v>#VALUE!</v>
      </c>
      <c r="FR5" t="e">
        <f>AND(calc!C17,"AAAAAG/3Y60=")</f>
        <v>#VALUE!</v>
      </c>
      <c r="FS5">
        <f>IF(calc!18:18,"AAAAAG/3Y64=",0)</f>
        <v>0</v>
      </c>
      <c r="FT5" t="e">
        <f>AND(calc!A18,"AAAAAG/3Y68=")</f>
        <v>#VALUE!</v>
      </c>
      <c r="FU5" t="e">
        <f>AND(calc!B18,"AAAAAG/3Y7A=")</f>
        <v>#VALUE!</v>
      </c>
      <c r="FV5" t="e">
        <f>AND(calc!C18,"AAAAAG/3Y7E=")</f>
        <v>#VALUE!</v>
      </c>
      <c r="FW5">
        <f>IF(calc!19:19,"AAAAAG/3Y7I=",0)</f>
        <v>0</v>
      </c>
      <c r="FX5" t="e">
        <f>AND(calc!A19,"AAAAAG/3Y7M=")</f>
        <v>#VALUE!</v>
      </c>
      <c r="FY5" t="e">
        <f>AND(calc!B19,"AAAAAG/3Y7Q=")</f>
        <v>#VALUE!</v>
      </c>
      <c r="FZ5" t="e">
        <f>AND(calc!C19,"AAAAAG/3Y7U=")</f>
        <v>#VALUE!</v>
      </c>
      <c r="GA5">
        <f>IF(calc!20:20,"AAAAAG/3Y7Y=",0)</f>
        <v>0</v>
      </c>
      <c r="GB5" t="e">
        <f>AND(calc!A20,"AAAAAG/3Y7c=")</f>
        <v>#VALUE!</v>
      </c>
      <c r="GC5" t="e">
        <f>AND(calc!B20,"AAAAAG/3Y7g=")</f>
        <v>#VALUE!</v>
      </c>
      <c r="GD5" t="e">
        <f>AND(calc!C20,"AAAAAG/3Y7k=")</f>
        <v>#VALUE!</v>
      </c>
      <c r="GE5">
        <f>IF(calc!21:21,"AAAAAG/3Y7o=",0)</f>
        <v>0</v>
      </c>
      <c r="GF5" t="e">
        <f>AND(calc!A21,"AAAAAG/3Y7s=")</f>
        <v>#VALUE!</v>
      </c>
      <c r="GG5" t="e">
        <f>AND(calc!B21,"AAAAAG/3Y7w=")</f>
        <v>#VALUE!</v>
      </c>
      <c r="GH5" t="e">
        <f>AND(calc!C21,"AAAAAG/3Y70=")</f>
        <v>#VALUE!</v>
      </c>
      <c r="GI5">
        <f>IF(calc!22:22,"AAAAAG/3Y74=",0)</f>
        <v>0</v>
      </c>
      <c r="GJ5" t="e">
        <f>AND(calc!A22,"AAAAAG/3Y78=")</f>
        <v>#VALUE!</v>
      </c>
      <c r="GK5" t="e">
        <f>AND(calc!B22,"AAAAAG/3Y8A=")</f>
        <v>#VALUE!</v>
      </c>
      <c r="GL5" t="e">
        <f>AND(calc!C22,"AAAAAG/3Y8E=")</f>
        <v>#VALUE!</v>
      </c>
      <c r="GM5">
        <f>IF(calc!23:23,"AAAAAG/3Y8I=",0)</f>
        <v>0</v>
      </c>
      <c r="GN5" t="e">
        <f>AND(calc!A23,"AAAAAG/3Y8M=")</f>
        <v>#VALUE!</v>
      </c>
      <c r="GO5" t="e">
        <f>AND(calc!B23,"AAAAAG/3Y8Q=")</f>
        <v>#VALUE!</v>
      </c>
      <c r="GP5" t="e">
        <f>AND(calc!C23,"AAAAAG/3Y8U=")</f>
        <v>#VALUE!</v>
      </c>
      <c r="GQ5">
        <f>IF(calc!24:24,"AAAAAG/3Y8Y=",0)</f>
        <v>0</v>
      </c>
      <c r="GR5" t="e">
        <f>AND(calc!A24,"AAAAAG/3Y8c=")</f>
        <v>#VALUE!</v>
      </c>
      <c r="GS5" t="e">
        <f>AND(calc!B24,"AAAAAG/3Y8g=")</f>
        <v>#VALUE!</v>
      </c>
      <c r="GT5" t="e">
        <f>AND(calc!C24,"AAAAAG/3Y8k=")</f>
        <v>#VALUE!</v>
      </c>
      <c r="GU5">
        <f>IF(calc!25:25,"AAAAAG/3Y8o=",0)</f>
        <v>0</v>
      </c>
      <c r="GV5" t="e">
        <f>AND(calc!A25,"AAAAAG/3Y8s=")</f>
        <v>#VALUE!</v>
      </c>
      <c r="GW5" t="e">
        <f>AND(calc!B25,"AAAAAG/3Y8w=")</f>
        <v>#VALUE!</v>
      </c>
      <c r="GX5" t="e">
        <f>AND(calc!C25,"AAAAAG/3Y80=")</f>
        <v>#VALUE!</v>
      </c>
      <c r="GY5">
        <f>IF(calc!26:26,"AAAAAG/3Y84=",0)</f>
        <v>0</v>
      </c>
      <c r="GZ5" t="e">
        <f>AND(calc!A26,"AAAAAG/3Y88=")</f>
        <v>#VALUE!</v>
      </c>
      <c r="HA5" t="e">
        <f>AND(calc!B26,"AAAAAG/3Y9A=")</f>
        <v>#VALUE!</v>
      </c>
      <c r="HB5" t="e">
        <f>AND(calc!C26,"AAAAAG/3Y9E=")</f>
        <v>#VALUE!</v>
      </c>
      <c r="HC5">
        <f>IF(calc!27:27,"AAAAAG/3Y9I=",0)</f>
        <v>0</v>
      </c>
      <c r="HD5">
        <f>IF(calc!28:28,"AAAAAG/3Y9M=",0)</f>
        <v>0</v>
      </c>
      <c r="HE5">
        <f>IF(calc!29:29,"AAAAAG/3Y9Q=",0)</f>
        <v>0</v>
      </c>
      <c r="HF5">
        <f>IF(calc!30:30,"AAAAAG/3Y9U=",0)</f>
        <v>0</v>
      </c>
      <c r="HG5">
        <f>IF(calc!31:31,"AAAAAG/3Y9Y=",0)</f>
        <v>0</v>
      </c>
      <c r="HH5">
        <f>IF(calc!32:32,"AAAAAG/3Y9c=",0)</f>
        <v>0</v>
      </c>
      <c r="HI5">
        <f>IF(calc!33:33,"AAAAAG/3Y9g=",0)</f>
        <v>0</v>
      </c>
      <c r="HJ5">
        <f>IF(calc!34:34,"AAAAAG/3Y9k=",0)</f>
        <v>0</v>
      </c>
      <c r="HK5" t="e">
        <f>IF(calc!A:A,"AAAAAG/3Y9o=",0)</f>
        <v>#VALUE!</v>
      </c>
      <c r="HL5" t="str">
        <f>IF(calc!B:B,"AAAAAG/3Y9s=",0)</f>
        <v>AAAAAG/3Y9s=</v>
      </c>
      <c r="HM5" t="str">
        <f>IF(calc!C:C,"AAAAAG/3Y9w=",0)</f>
        <v>AAAAAG/3Y9w=</v>
      </c>
      <c r="HN5">
        <f>IF('User Notes'!1:1,"AAAAAG/3Y90=",0)</f>
        <v>0</v>
      </c>
      <c r="HO5" t="e">
        <f>AND('User Notes'!B1,"AAAAAG/3Y94=")</f>
        <v>#VALUE!</v>
      </c>
      <c r="HP5">
        <f>IF('User Notes'!2:2,"AAAAAG/3Y98=",0)</f>
        <v>0</v>
      </c>
      <c r="HQ5" t="e">
        <f>AND('User Notes'!B2,"AAAAAG/3Y+A=")</f>
        <v>#VALUE!</v>
      </c>
      <c r="HR5">
        <f>IF('User Notes'!3:3,"AAAAAG/3Y+E=",0)</f>
        <v>0</v>
      </c>
      <c r="HS5" t="e">
        <f>AND('User Notes'!B3,"AAAAAG/3Y+I=")</f>
        <v>#VALUE!</v>
      </c>
      <c r="HT5">
        <f>IF('User Notes'!4:4,"AAAAAG/3Y+M=",0)</f>
        <v>0</v>
      </c>
      <c r="HU5" t="e">
        <f>AND('User Notes'!B4,"AAAAAG/3Y+Q=")</f>
        <v>#VALUE!</v>
      </c>
      <c r="HV5">
        <f>IF('User Notes'!5:5,"AAAAAG/3Y+U=",0)</f>
        <v>0</v>
      </c>
      <c r="HW5" t="e">
        <f>AND('User Notes'!B5,"AAAAAG/3Y+Y=")</f>
        <v>#VALUE!</v>
      </c>
      <c r="HX5">
        <f>IF('User Notes'!6:6,"AAAAAG/3Y+c=",0)</f>
        <v>0</v>
      </c>
      <c r="HY5" t="e">
        <f>AND('User Notes'!B6,"AAAAAG/3Y+g=")</f>
        <v>#VALUE!</v>
      </c>
      <c r="HZ5">
        <f>IF('User Notes'!7:7,"AAAAAG/3Y+k=",0)</f>
        <v>0</v>
      </c>
      <c r="IA5" t="e">
        <f>AND('User Notes'!B7,"AAAAAG/3Y+o=")</f>
        <v>#VALUE!</v>
      </c>
      <c r="IB5">
        <f>IF('User Notes'!8:8,"AAAAAG/3Y+s=",0)</f>
        <v>0</v>
      </c>
      <c r="IC5" t="e">
        <f>AND('User Notes'!B8,"AAAAAG/3Y+w=")</f>
        <v>#VALUE!</v>
      </c>
      <c r="ID5">
        <f>IF('User Notes'!9:9,"AAAAAG/3Y+0=",0)</f>
        <v>0</v>
      </c>
      <c r="IE5" t="e">
        <f>AND('User Notes'!B9,"AAAAAG/3Y+4=")</f>
        <v>#VALUE!</v>
      </c>
      <c r="IF5">
        <f>IF('User Notes'!10:10,"AAAAAG/3Y+8=",0)</f>
        <v>0</v>
      </c>
      <c r="IG5" t="e">
        <f>AND('User Notes'!B10,"AAAAAG/3Y/A=")</f>
        <v>#VALUE!</v>
      </c>
      <c r="IH5">
        <f>IF('User Notes'!11:11,"AAAAAG/3Y/E=",0)</f>
        <v>0</v>
      </c>
      <c r="II5" t="e">
        <f>AND('User Notes'!B11,"AAAAAG/3Y/I=")</f>
        <v>#VALUE!</v>
      </c>
      <c r="IJ5">
        <f>IF('User Notes'!12:12,"AAAAAG/3Y/M=",0)</f>
        <v>0</v>
      </c>
      <c r="IK5" t="e">
        <f>AND('User Notes'!B12,"AAAAAG/3Y/Q=")</f>
        <v>#VALUE!</v>
      </c>
      <c r="IL5">
        <f>IF('User Notes'!13:13,"AAAAAG/3Y/U=",0)</f>
        <v>0</v>
      </c>
      <c r="IM5" t="e">
        <f>AND('User Notes'!B13,"AAAAAG/3Y/Y=")</f>
        <v>#VALUE!</v>
      </c>
      <c r="IN5">
        <f>IF('User Notes'!14:14,"AAAAAG/3Y/c=",0)</f>
        <v>0</v>
      </c>
      <c r="IO5" t="e">
        <f>AND('User Notes'!B14,"AAAAAG/3Y/g=")</f>
        <v>#VALUE!</v>
      </c>
      <c r="IP5">
        <f>IF('User Notes'!15:15,"AAAAAG/3Y/k=",0)</f>
        <v>0</v>
      </c>
      <c r="IQ5" t="e">
        <f>AND('User Notes'!B15,"AAAAAG/3Y/o=")</f>
        <v>#VALUE!</v>
      </c>
      <c r="IR5">
        <f>IF('User Notes'!16:16,"AAAAAG/3Y/s=",0)</f>
        <v>0</v>
      </c>
      <c r="IS5" t="e">
        <f>AND('User Notes'!B16,"AAAAAG/3Y/w=")</f>
        <v>#VALUE!</v>
      </c>
      <c r="IT5">
        <f>IF('User Notes'!17:17,"AAAAAG/3Y/0=",0)</f>
        <v>0</v>
      </c>
      <c r="IU5" t="e">
        <f>AND('User Notes'!B17,"AAAAAG/3Y/4=")</f>
        <v>#VALUE!</v>
      </c>
      <c r="IV5">
        <f>IF('User Notes'!18:18,"AAAAAG/3Y/8=",0)</f>
        <v>0</v>
      </c>
    </row>
    <row r="6" spans="1:256" x14ac:dyDescent="0.25">
      <c r="A6" t="e">
        <f>AND('User Notes'!B18,"AAAAAH6W2wA=")</f>
        <v>#VALUE!</v>
      </c>
      <c r="B6" t="e">
        <f>IF('User Notes'!19:19,"AAAAAH6W2wE=",0)</f>
        <v>#VALUE!</v>
      </c>
      <c r="C6" t="e">
        <f>AND('User Notes'!B19,"AAAAAH6W2wI=")</f>
        <v>#VALUE!</v>
      </c>
      <c r="D6">
        <f>IF('User Notes'!20:20,"AAAAAH6W2wM=",0)</f>
        <v>0</v>
      </c>
      <c r="E6" t="e">
        <f>AND('User Notes'!B20,"AAAAAH6W2wQ=")</f>
        <v>#VALUE!</v>
      </c>
      <c r="F6">
        <f>IF('User Notes'!21:21,"AAAAAH6W2wU=",0)</f>
        <v>0</v>
      </c>
      <c r="G6" t="e">
        <f>AND('User Notes'!B21,"AAAAAH6W2wY=")</f>
        <v>#VALUE!</v>
      </c>
      <c r="H6">
        <f>IF('User Notes'!22:22,"AAAAAH6W2wc=",0)</f>
        <v>0</v>
      </c>
      <c r="I6" t="e">
        <f>AND('User Notes'!B22,"AAAAAH6W2wg=")</f>
        <v>#VALUE!</v>
      </c>
      <c r="J6">
        <f>IF('User Notes'!23:23,"AAAAAH6W2wk=",0)</f>
        <v>0</v>
      </c>
      <c r="K6" t="e">
        <f>AND('User Notes'!B23,"AAAAAH6W2wo=")</f>
        <v>#VALUE!</v>
      </c>
      <c r="L6">
        <f>IF('User Notes'!A:A,"AAAAAH6W2ws=",0)</f>
        <v>0</v>
      </c>
      <c r="M6" t="e">
        <f>IF('User Notes'!B:B,"AAAAAH6W2ww=",0)</f>
        <v>#VALUE!</v>
      </c>
      <c r="N6" t="s">
        <v>136</v>
      </c>
      <c r="O6" t="e">
        <f>IF("N",'Swimming Calculator'!_xlnm.Print_Area,"AAAAAH6W2w4=")</f>
        <v>#VALUE!</v>
      </c>
    </row>
  </sheetData>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Stats</vt:lpstr>
      <vt:lpstr>Validation</vt:lpstr>
      <vt:lpstr>calc</vt:lpstr>
      <vt:lpstr>User Notes</vt:lpstr>
      <vt:lpstr>Swimming Calculator</vt:lpstr>
      <vt:lpstr>'Swimming Calculator'!Print_Area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Woodruff</dc:creator>
  <cp:lastModifiedBy>Ryan Woodruff</cp:lastModifiedBy>
  <cp:lastPrinted>2019-06-11T05:06:23Z</cp:lastPrinted>
  <dcterms:created xsi:type="dcterms:W3CDTF">2009-12-20T17:12:44Z</dcterms:created>
  <dcterms:modified xsi:type="dcterms:W3CDTF">2019-06-11T05:06:50Z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1JnTwPcBLo27JCp2gBpws4VThFR6plHVFVmpV2E00uqk</vt:lpwstr>
  </property>
  <property fmtid="{D5CDD505-2E9C-101B-9397-08002B2CF9AE}" pid="4" name="Google.Documents.RevisionId">
    <vt:lpwstr>07567758330494437037</vt:lpwstr>
  </property>
  <property fmtid="{D5CDD505-2E9C-101B-9397-08002B2CF9AE}" pid="5" name="Google.Documents.PreviousRevisionId">
    <vt:lpwstr>07595803141798038664</vt:lpwstr>
  </property>
  <property fmtid="{D5CDD505-2E9C-101B-9397-08002B2CF9AE}" pid="6" name="Google.Documents.PluginVersion">
    <vt:lpwstr>2.0.2662.553</vt:lpwstr>
  </property>
  <property fmtid="{D5CDD505-2E9C-101B-9397-08002B2CF9AE}" pid="7" name="Google.Documents.MergeIncapabilityFlags">
    <vt:i4>0</vt:i4>
  </property>
</Properties>
</file>