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W\"/>
    </mc:Choice>
  </mc:AlternateContent>
  <bookViews>
    <workbookView xWindow="0" yWindow="0" windowWidth="24000" windowHeight="9135"/>
  </bookViews>
  <sheets>
    <sheet name="MyPaceCard-SCY" sheetId="1" r:id="rId1"/>
  </sheets>
  <definedNames>
    <definedName name="_xlnm._FilterDatabase" localSheetId="0" hidden="1">'MyPaceCard-SCY'!$L$1:$M$34</definedName>
    <definedName name="_xlnm._FilterDatabase" hidden="1">#REF!</definedName>
    <definedName name="_xlnm.Criteria" localSheetId="0">'MyPaceCard-SCY'!$E$1:$E$32</definedName>
    <definedName name="_xlnm.Criteria">#REF!</definedName>
    <definedName name="_xlnm.Print_Area" localSheetId="0">'MyPaceCard-SCY'!$A$1:$J$34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L9" i="1" l="1"/>
  <c r="H9" i="1" s="1"/>
  <c r="G9" i="1" s="1"/>
  <c r="L8" i="1"/>
  <c r="H8" i="1" s="1"/>
  <c r="L5" i="1"/>
  <c r="H5" i="1" s="1"/>
  <c r="G5" i="1" s="1"/>
  <c r="L4" i="1"/>
  <c r="H4" i="1" s="1"/>
  <c r="L7" i="1"/>
  <c r="H7" i="1" s="1"/>
  <c r="G7" i="1" s="1"/>
  <c r="L6" i="1"/>
  <c r="H6" i="1" s="1"/>
  <c r="I9" i="1" l="1"/>
  <c r="F9" i="1"/>
  <c r="I7" i="1"/>
  <c r="F7" i="1"/>
  <c r="I5" i="1"/>
  <c r="F5" i="1"/>
  <c r="F3" i="1"/>
  <c r="G4" i="1"/>
  <c r="G8" i="1"/>
  <c r="G6" i="1"/>
  <c r="F6" i="1" s="1"/>
  <c r="L2" i="1"/>
  <c r="H2" i="1" s="1"/>
  <c r="L3" i="1"/>
  <c r="H3" i="1" s="1"/>
  <c r="G3" i="1" s="1"/>
  <c r="I3" i="1" s="1"/>
  <c r="L10" i="1"/>
  <c r="L11" i="1"/>
  <c r="I11" i="1" s="1"/>
  <c r="L12" i="1"/>
  <c r="L13" i="1"/>
  <c r="H13" i="1" s="1"/>
  <c r="L14" i="1"/>
  <c r="G14" i="1" s="1"/>
  <c r="F14" i="1" s="1"/>
  <c r="L15" i="1"/>
  <c r="G15" i="1" s="1"/>
  <c r="F15" i="1" s="1"/>
  <c r="L16" i="1"/>
  <c r="H16" i="1" s="1"/>
  <c r="L17" i="1"/>
  <c r="L18" i="1"/>
  <c r="I18" i="1" s="1"/>
  <c r="J18" i="1" s="1"/>
  <c r="H18" i="1" s="1"/>
  <c r="G18" i="1" s="1"/>
  <c r="F18" i="1" s="1"/>
  <c r="L19" i="1"/>
  <c r="L20" i="1"/>
  <c r="L21" i="1"/>
  <c r="F21" i="1" s="1"/>
  <c r="H21" i="1" s="1"/>
  <c r="L22" i="1"/>
  <c r="F22" i="1" s="1"/>
  <c r="H22" i="1" s="1"/>
  <c r="L23" i="1"/>
  <c r="L24" i="1"/>
  <c r="F24" i="1" s="1"/>
  <c r="H24" i="1" s="1"/>
  <c r="L25" i="1"/>
  <c r="F25" i="1" s="1"/>
  <c r="L26" i="1"/>
  <c r="F26" i="1" s="1"/>
  <c r="L27" i="1"/>
  <c r="L28" i="1"/>
  <c r="L29" i="1"/>
  <c r="G29" i="1" s="1"/>
  <c r="L30" i="1"/>
  <c r="G30" i="1" s="1"/>
  <c r="L31" i="1"/>
  <c r="G31" i="1" s="1"/>
  <c r="L32" i="1"/>
  <c r="G32" i="1" s="1"/>
  <c r="L33" i="1"/>
  <c r="G33" i="1" s="1"/>
  <c r="L34" i="1"/>
  <c r="G34" i="1" s="1"/>
  <c r="I4" i="1" l="1"/>
  <c r="F4" i="1"/>
  <c r="F8" i="1"/>
  <c r="I8" i="1"/>
  <c r="I6" i="1"/>
  <c r="F32" i="1"/>
  <c r="H32" i="1" s="1"/>
  <c r="F34" i="1"/>
  <c r="H34" i="1" s="1"/>
  <c r="F33" i="1"/>
  <c r="H33" i="1" s="1"/>
  <c r="F31" i="1"/>
  <c r="I32" i="1"/>
  <c r="J32" i="1" s="1"/>
  <c r="I30" i="1"/>
  <c r="F30" i="1"/>
  <c r="H30" i="1" s="1"/>
  <c r="F29" i="1"/>
  <c r="I29" i="1"/>
  <c r="H15" i="1"/>
  <c r="H14" i="1"/>
  <c r="F27" i="1"/>
  <c r="F20" i="1"/>
  <c r="G11" i="1"/>
  <c r="J11" i="1"/>
  <c r="G26" i="1"/>
  <c r="I26" i="1"/>
  <c r="J26" i="1" s="1"/>
  <c r="G25" i="1"/>
  <c r="I25" i="1"/>
  <c r="J25" i="1" s="1"/>
  <c r="G24" i="1"/>
  <c r="F23" i="1"/>
  <c r="H26" i="1"/>
  <c r="H25" i="1"/>
  <c r="I24" i="1"/>
  <c r="J24" i="1" s="1"/>
  <c r="G22" i="1"/>
  <c r="I22" i="1"/>
  <c r="J22" i="1" s="1"/>
  <c r="G21" i="1"/>
  <c r="I21" i="1"/>
  <c r="J21" i="1" s="1"/>
  <c r="I17" i="1"/>
  <c r="J17" i="1" s="1"/>
  <c r="H17" i="1" s="1"/>
  <c r="G17" i="1" s="1"/>
  <c r="F17" i="1" s="1"/>
  <c r="I16" i="1"/>
  <c r="J16" i="1" s="1"/>
  <c r="G16" i="1"/>
  <c r="F16" i="1" s="1"/>
  <c r="I13" i="1"/>
  <c r="J13" i="1" s="1"/>
  <c r="G13" i="1"/>
  <c r="F13" i="1" s="1"/>
  <c r="I12" i="1"/>
  <c r="G2" i="1"/>
  <c r="I15" i="1"/>
  <c r="J15" i="1" s="1"/>
  <c r="I14" i="1"/>
  <c r="J14" i="1" s="1"/>
  <c r="J29" i="1" l="1"/>
  <c r="I34" i="1"/>
  <c r="J34" i="1" s="1"/>
  <c r="I33" i="1"/>
  <c r="J33" i="1" s="1"/>
  <c r="H31" i="1"/>
  <c r="I31" i="1"/>
  <c r="J31" i="1" s="1"/>
  <c r="J30" i="1"/>
  <c r="H29" i="1"/>
  <c r="F2" i="1"/>
  <c r="I2" i="1"/>
  <c r="H23" i="1"/>
  <c r="I23" i="1"/>
  <c r="J23" i="1" s="1"/>
  <c r="G23" i="1"/>
  <c r="H20" i="1"/>
  <c r="G20" i="1"/>
  <c r="I20" i="1"/>
  <c r="J20" i="1" s="1"/>
  <c r="H27" i="1"/>
  <c r="G27" i="1"/>
  <c r="I27" i="1"/>
  <c r="J27" i="1" s="1"/>
  <c r="J12" i="1"/>
  <c r="G12" i="1"/>
  <c r="F11" i="1"/>
  <c r="H11" i="1"/>
  <c r="F12" i="1" l="1"/>
  <c r="H12" i="1"/>
</calcChain>
</file>

<file path=xl/comments1.xml><?xml version="1.0" encoding="utf-8"?>
<comments xmlns="http://schemas.openxmlformats.org/spreadsheetml/2006/main">
  <authors>
    <author>Ryan Woodruff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 xml:space="preserve">Ryan Woodruff:
</t>
        </r>
        <r>
          <rPr>
            <sz val="9"/>
            <color indexed="81"/>
            <rFont val="Tahoma"/>
            <family val="2"/>
          </rPr>
          <t>Type your best and goal times in this column WITHOUT punctuation. For example: a time of 1:08.34 would be typed in as 10834</t>
        </r>
      </text>
    </comment>
  </commentList>
</comments>
</file>

<file path=xl/sharedStrings.xml><?xml version="1.0" encoding="utf-8"?>
<sst xmlns="http://schemas.openxmlformats.org/spreadsheetml/2006/main" count="65" uniqueCount="20">
  <si>
    <t>GOAL</t>
  </si>
  <si>
    <t>BEST</t>
  </si>
  <si>
    <t>MILE</t>
  </si>
  <si>
    <t>Start 100</t>
  </si>
  <si>
    <t>Start 50</t>
  </si>
  <si>
    <t>Pace 150</t>
  </si>
  <si>
    <t>Pace 100</t>
  </si>
  <si>
    <t>Pace 50</t>
  </si>
  <si>
    <t>BR</t>
  </si>
  <si>
    <t>FLY</t>
  </si>
  <si>
    <t>BK</t>
  </si>
  <si>
    <t>FR</t>
  </si>
  <si>
    <t>Pace 75</t>
  </si>
  <si>
    <t>Pace 25</t>
  </si>
  <si>
    <t>Start 25</t>
  </si>
  <si>
    <t>Start 15</t>
  </si>
  <si>
    <t>Turn 10</t>
  </si>
  <si>
    <t>SCY PACE CARD</t>
  </si>
  <si>
    <t>DISTANCE</t>
  </si>
  <si>
    <t>SWIMMER'S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</si>
</sst>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&quot;.&quot;##"/>
    <numFmt numFmtId="165" formatCode="0.0"/>
    <numFmt numFmtId="166" formatCode="#&quot;:&quot;##&quot;.&quot;00"/>
    <numFmt numFmtId="167" formatCode="#,##0.0"/>
    <numFmt numFmtId="168" formatCode="#&quot;:&quot;##&quot;.&quot;#"/>
  </numFmts>
  <fonts count="10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/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double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</borders>
  <cellStyleXfs count="3">
    <xf numFmtId="0" fontId="0" fillId="0" borderId="0"/>
    <xf numFmtId="0" fontId="4" fillId="0" borderId="0">
      <alignment vertical="top"/>
    </xf>
    <xf numFmtId="0" fontId="4" fillId="0" borderId="0">
      <alignment vertical="top"/>
    </xf>
  </cellStyleXfs>
  <cellXfs count="70">
    <xf numFmtId="0" fontId="0" fillId="0" borderId="0" xfId="0"/>
    <xf numFmtId="166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6" fontId="1" fillId="5" borderId="17" xfId="0" applyNumberFormat="1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 textRotation="90"/>
    </xf>
    <xf numFmtId="0" fontId="2" fillId="0" borderId="0" xfId="0" applyFont="1" applyAlignment="1" applyProtection="1">
      <alignment textRotation="90"/>
      <protection locked="0"/>
    </xf>
    <xf numFmtId="166" fontId="1" fillId="4" borderId="7" xfId="0" applyNumberFormat="1" applyFont="1" applyFill="1" applyBorder="1" applyAlignment="1" applyProtection="1">
      <alignment horizontal="center" vertical="center"/>
      <protection locked="0"/>
    </xf>
    <xf numFmtId="166" fontId="1" fillId="4" borderId="14" xfId="0" applyNumberFormat="1" applyFont="1" applyFill="1" applyBorder="1" applyAlignment="1" applyProtection="1">
      <alignment horizontal="center" vertical="center"/>
      <protection locked="0"/>
    </xf>
    <xf numFmtId="166" fontId="1" fillId="4" borderId="19" xfId="0" applyNumberFormat="1" applyFont="1" applyFill="1" applyBorder="1" applyAlignment="1" applyProtection="1">
      <alignment horizontal="center" vertical="center"/>
      <protection locked="0"/>
    </xf>
    <xf numFmtId="166" fontId="1" fillId="4" borderId="2" xfId="0" applyNumberFormat="1" applyFont="1" applyFill="1" applyBorder="1" applyAlignment="1" applyProtection="1">
      <alignment horizontal="center" vertical="center"/>
      <protection locked="0"/>
    </xf>
    <xf numFmtId="165" fontId="6" fillId="5" borderId="29" xfId="0" applyNumberFormat="1" applyFont="1" applyFill="1" applyBorder="1" applyAlignment="1" applyProtection="1">
      <alignment horizontal="center" vertical="center"/>
      <protection hidden="1"/>
    </xf>
    <xf numFmtId="165" fontId="6" fillId="5" borderId="28" xfId="0" applyNumberFormat="1" applyFont="1" applyFill="1" applyBorder="1" applyAlignment="1" applyProtection="1">
      <alignment horizontal="center" vertical="center"/>
      <protection hidden="1"/>
    </xf>
    <xf numFmtId="165" fontId="6" fillId="5" borderId="2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64" fontId="0" fillId="2" borderId="0" xfId="0" applyNumberFormat="1" applyFill="1" applyProtection="1">
      <protection hidden="1"/>
    </xf>
    <xf numFmtId="165" fontId="0" fillId="0" borderId="12" xfId="0" applyNumberFormat="1" applyBorder="1" applyAlignment="1" applyProtection="1">
      <alignment horizontal="center"/>
      <protection hidden="1"/>
    </xf>
    <xf numFmtId="165" fontId="0" fillId="0" borderId="26" xfId="0" applyNumberFormat="1" applyBorder="1" applyAlignment="1" applyProtection="1">
      <alignment horizontal="center"/>
      <protection hidden="1"/>
    </xf>
    <xf numFmtId="2" fontId="0" fillId="2" borderId="0" xfId="0" applyNumberFormat="1" applyFill="1" applyProtection="1">
      <protection hidden="1"/>
    </xf>
    <xf numFmtId="2" fontId="0" fillId="0" borderId="0" xfId="0" applyNumberFormat="1" applyProtection="1">
      <protection hidden="1"/>
    </xf>
    <xf numFmtId="165" fontId="0" fillId="3" borderId="12" xfId="0" applyNumberFormat="1" applyFill="1" applyBorder="1" applyAlignment="1" applyProtection="1">
      <alignment horizontal="center"/>
      <protection hidden="1"/>
    </xf>
    <xf numFmtId="165" fontId="0" fillId="3" borderId="11" xfId="0" applyNumberFormat="1" applyFill="1" applyBorder="1" applyAlignment="1" applyProtection="1">
      <alignment horizontal="center"/>
      <protection hidden="1"/>
    </xf>
    <xf numFmtId="165" fontId="6" fillId="5" borderId="17" xfId="0" applyNumberFormat="1" applyFont="1" applyFill="1" applyBorder="1" applyAlignment="1" applyProtection="1">
      <alignment horizontal="center" vertical="center"/>
      <protection hidden="1"/>
    </xf>
    <xf numFmtId="165" fontId="6" fillId="5" borderId="16" xfId="0" applyNumberFormat="1" applyFont="1" applyFill="1" applyBorder="1" applyAlignment="1" applyProtection="1">
      <alignment horizontal="center" vertical="center"/>
      <protection hidden="1"/>
    </xf>
    <xf numFmtId="165" fontId="0" fillId="0" borderId="11" xfId="0" applyNumberFormat="1" applyBorder="1" applyAlignment="1" applyProtection="1">
      <alignment horizontal="center"/>
      <protection hidden="1"/>
    </xf>
    <xf numFmtId="165" fontId="0" fillId="3" borderId="14" xfId="0" applyNumberFormat="1" applyFill="1" applyBorder="1" applyAlignment="1" applyProtection="1">
      <alignment horizontal="center"/>
      <protection hidden="1"/>
    </xf>
    <xf numFmtId="165" fontId="0" fillId="3" borderId="13" xfId="0" applyNumberFormat="1" applyFill="1" applyBorder="1" applyAlignment="1" applyProtection="1">
      <alignment horizontal="center"/>
      <protection hidden="1"/>
    </xf>
    <xf numFmtId="165" fontId="0" fillId="0" borderId="7" xfId="0" applyNumberFormat="1" applyBorder="1" applyAlignment="1" applyProtection="1">
      <alignment horizontal="center"/>
      <protection hidden="1"/>
    </xf>
    <xf numFmtId="165" fontId="0" fillId="0" borderId="6" xfId="0" applyNumberFormat="1" applyBorder="1" applyAlignment="1" applyProtection="1">
      <alignment horizontal="center"/>
      <protection hidden="1"/>
    </xf>
    <xf numFmtId="165" fontId="0" fillId="3" borderId="2" xfId="0" applyNumberFormat="1" applyFill="1" applyBorder="1" applyAlignment="1" applyProtection="1">
      <alignment horizontal="center"/>
      <protection hidden="1"/>
    </xf>
    <xf numFmtId="165" fontId="0" fillId="3" borderId="1" xfId="0" applyNumberFormat="1" applyFill="1" applyBorder="1" applyAlignment="1" applyProtection="1">
      <alignment horizontal="center"/>
      <protection hidden="1"/>
    </xf>
    <xf numFmtId="165" fontId="6" fillId="5" borderId="24" xfId="0" applyNumberFormat="1" applyFont="1" applyFill="1" applyBorder="1" applyAlignment="1" applyProtection="1">
      <alignment horizontal="center" vertical="center"/>
      <protection hidden="1"/>
    </xf>
    <xf numFmtId="165" fontId="6" fillId="5" borderId="23" xfId="0" applyNumberFormat="1" applyFont="1" applyFill="1" applyBorder="1" applyAlignment="1" applyProtection="1">
      <alignment horizontal="center" vertical="center"/>
      <protection hidden="1"/>
    </xf>
    <xf numFmtId="165" fontId="0" fillId="0" borderId="19" xfId="0" applyNumberFormat="1" applyBorder="1" applyAlignment="1" applyProtection="1">
      <alignment horizontal="center"/>
      <protection hidden="1"/>
    </xf>
    <xf numFmtId="165" fontId="0" fillId="0" borderId="21" xfId="0" applyNumberFormat="1" applyBorder="1" applyAlignment="1" applyProtection="1">
      <alignment horizontal="center"/>
      <protection hidden="1"/>
    </xf>
    <xf numFmtId="167" fontId="6" fillId="5" borderId="17" xfId="0" applyNumberFormat="1" applyFont="1" applyFill="1" applyBorder="1" applyAlignment="1" applyProtection="1">
      <alignment horizontal="center" vertical="center"/>
      <protection hidden="1"/>
    </xf>
    <xf numFmtId="167" fontId="6" fillId="5" borderId="16" xfId="0" applyNumberFormat="1" applyFont="1" applyFill="1" applyBorder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165" fontId="0" fillId="0" borderId="7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5" fontId="0" fillId="3" borderId="14" xfId="0" applyNumberFormat="1" applyFill="1" applyBorder="1" applyAlignment="1">
      <alignment horizontal="center"/>
    </xf>
    <xf numFmtId="168" fontId="0" fillId="3" borderId="14" xfId="0" applyNumberFormat="1" applyFill="1" applyBorder="1" applyAlignment="1">
      <alignment horizontal="center"/>
    </xf>
    <xf numFmtId="168" fontId="0" fillId="3" borderId="13" xfId="0" applyNumberFormat="1" applyFill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7" fontId="0" fillId="3" borderId="14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68" fontId="0" fillId="3" borderId="2" xfId="0" applyNumberFormat="1" applyFill="1" applyBorder="1" applyAlignment="1">
      <alignment horizontal="center"/>
    </xf>
    <xf numFmtId="168" fontId="0" fillId="3" borderId="1" xfId="0" applyNumberForma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 textRotation="90" shrinkToFit="1"/>
      <protection locked="0"/>
    </xf>
    <xf numFmtId="0" fontId="2" fillId="0" borderId="10" xfId="0" applyFont="1" applyBorder="1" applyAlignment="1" applyProtection="1">
      <alignment horizontal="center" vertical="center" textRotation="90" shrinkToFit="1"/>
      <protection locked="0"/>
    </xf>
    <xf numFmtId="0" fontId="2" fillId="0" borderId="5" xfId="0" applyFont="1" applyBorder="1" applyAlignment="1" applyProtection="1">
      <alignment horizontal="center" vertical="center" textRotation="90" shrinkToFit="1"/>
      <protection locked="0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E2" sqref="E2"/>
    </sheetView>
  </sheetViews>
  <sheetFormatPr defaultRowHeight="15" x14ac:dyDescent="0.25"/>
  <cols>
    <col min="1" max="1" width="7.140625" style="13" customWidth="1"/>
    <col min="2" max="2" width="5.28515625" style="3" customWidth="1"/>
    <col min="3" max="3" width="9.28515625" style="3" customWidth="1"/>
    <col min="4" max="4" width="7.28515625" style="2" customWidth="1"/>
    <col min="5" max="5" width="9.28515625" style="1" customWidth="1"/>
    <col min="6" max="10" width="8.140625" style="44" customWidth="1"/>
    <col min="11" max="11" width="9.140625" style="21" customWidth="1"/>
    <col min="12" max="12" width="9.140625" style="22" hidden="1" customWidth="1"/>
    <col min="13" max="13" width="9.140625" style="21" hidden="1" customWidth="1"/>
  </cols>
  <sheetData>
    <row r="1" spans="1:13" ht="12.95" customHeight="1" thickTop="1" thickBot="1" x14ac:dyDescent="0.3">
      <c r="A1" s="65" t="s">
        <v>19</v>
      </c>
      <c r="B1" s="62" t="s">
        <v>17</v>
      </c>
      <c r="C1" s="63"/>
      <c r="D1" s="63"/>
      <c r="E1" s="64"/>
      <c r="F1" s="18" t="s">
        <v>15</v>
      </c>
      <c r="G1" s="19" t="s">
        <v>14</v>
      </c>
      <c r="H1" s="19" t="s">
        <v>13</v>
      </c>
      <c r="I1" s="19" t="s">
        <v>16</v>
      </c>
      <c r="J1" s="20"/>
    </row>
    <row r="2" spans="1:13" ht="12.95" customHeight="1" x14ac:dyDescent="0.25">
      <c r="A2" s="66"/>
      <c r="B2" s="59">
        <v>50</v>
      </c>
      <c r="C2" s="57" t="s">
        <v>11</v>
      </c>
      <c r="D2" s="5" t="s">
        <v>1</v>
      </c>
      <c r="E2" s="14"/>
      <c r="F2" s="23">
        <f>0.65616*G2-0.1</f>
        <v>-0.1</v>
      </c>
      <c r="G2" s="23">
        <f>L2-H2</f>
        <v>0</v>
      </c>
      <c r="H2" s="23">
        <f>(L2*1.05)/2</f>
        <v>0</v>
      </c>
      <c r="I2" s="23">
        <f>0.2*G2+0.2*H2</f>
        <v>0</v>
      </c>
      <c r="J2" s="24"/>
      <c r="L2" s="25">
        <f t="shared" ref="L2:L34" si="0">INT(E2/10000)*60+(E2-INT(E2/10000)*10000)/100</f>
        <v>0</v>
      </c>
      <c r="M2" s="26"/>
    </row>
    <row r="3" spans="1:13" ht="12.95" customHeight="1" thickBot="1" x14ac:dyDescent="0.3">
      <c r="A3" s="66"/>
      <c r="B3" s="59"/>
      <c r="C3" s="61"/>
      <c r="D3" s="6" t="s">
        <v>0</v>
      </c>
      <c r="E3" s="15"/>
      <c r="F3" s="27">
        <f>0.65616*G3-0.1</f>
        <v>-0.1</v>
      </c>
      <c r="G3" s="27">
        <f>L3-H3</f>
        <v>0</v>
      </c>
      <c r="H3" s="27">
        <f>(L3*1.05)/2</f>
        <v>0</v>
      </c>
      <c r="I3" s="27">
        <f>0.2*G3+0.2*H3</f>
        <v>0</v>
      </c>
      <c r="J3" s="28"/>
      <c r="L3" s="25">
        <f t="shared" si="0"/>
        <v>0</v>
      </c>
      <c r="M3" s="26"/>
    </row>
    <row r="4" spans="1:13" ht="12.95" customHeight="1" x14ac:dyDescent="0.25">
      <c r="A4" s="66"/>
      <c r="B4" s="59"/>
      <c r="C4" s="57" t="s">
        <v>10</v>
      </c>
      <c r="D4" s="5" t="s">
        <v>1</v>
      </c>
      <c r="E4" s="14"/>
      <c r="F4" s="23">
        <f>0.65616*G4-0.1</f>
        <v>-0.1</v>
      </c>
      <c r="G4" s="23">
        <f>L4-H4</f>
        <v>0</v>
      </c>
      <c r="H4" s="23">
        <f>(L4*1.025)/2</f>
        <v>0</v>
      </c>
      <c r="I4" s="23">
        <f>0.2*G4+0.2*H4</f>
        <v>0</v>
      </c>
      <c r="J4" s="24"/>
      <c r="L4" s="25">
        <f t="shared" ref="L4:L5" si="1">INT(E4/10000)*60+(E4-INT(E4/10000)*10000)/100</f>
        <v>0</v>
      </c>
      <c r="M4" s="26"/>
    </row>
    <row r="5" spans="1:13" ht="12.95" customHeight="1" thickBot="1" x14ac:dyDescent="0.3">
      <c r="A5" s="66"/>
      <c r="B5" s="59"/>
      <c r="C5" s="61"/>
      <c r="D5" s="6" t="s">
        <v>0</v>
      </c>
      <c r="E5" s="15"/>
      <c r="F5" s="27">
        <f>0.65616*G5-0.1</f>
        <v>-0.1</v>
      </c>
      <c r="G5" s="27">
        <f>L5-H5</f>
        <v>0</v>
      </c>
      <c r="H5" s="27">
        <f>(L5*1.025)/2</f>
        <v>0</v>
      </c>
      <c r="I5" s="27">
        <f>0.2*G5+0.2*H5</f>
        <v>0</v>
      </c>
      <c r="J5" s="28"/>
      <c r="L5" s="25">
        <f t="shared" si="1"/>
        <v>0</v>
      </c>
      <c r="M5" s="26"/>
    </row>
    <row r="6" spans="1:13" ht="12.95" customHeight="1" x14ac:dyDescent="0.25">
      <c r="A6" s="66"/>
      <c r="B6" s="59"/>
      <c r="C6" s="57" t="s">
        <v>9</v>
      </c>
      <c r="D6" s="5" t="s">
        <v>1</v>
      </c>
      <c r="E6" s="14"/>
      <c r="F6" s="23">
        <f>0.65616*G6-0.1</f>
        <v>-0.1</v>
      </c>
      <c r="G6" s="23">
        <f>L6-H6</f>
        <v>0</v>
      </c>
      <c r="H6" s="23">
        <f>(L6*1.088)/2</f>
        <v>0</v>
      </c>
      <c r="I6" s="23">
        <f>0.2*G6+0.2*H6</f>
        <v>0</v>
      </c>
      <c r="J6" s="24"/>
      <c r="L6" s="25">
        <f t="shared" ref="L6:L9" si="2">INT(E6/10000)*60+(E6-INT(E6/10000)*10000)/100</f>
        <v>0</v>
      </c>
      <c r="M6" s="26"/>
    </row>
    <row r="7" spans="1:13" ht="12.95" customHeight="1" thickBot="1" x14ac:dyDescent="0.3">
      <c r="A7" s="66"/>
      <c r="B7" s="59"/>
      <c r="C7" s="61"/>
      <c r="D7" s="6" t="s">
        <v>0</v>
      </c>
      <c r="E7" s="15"/>
      <c r="F7" s="27">
        <f>0.65616*G7-0.1</f>
        <v>-0.1</v>
      </c>
      <c r="G7" s="27">
        <f>L7-H7</f>
        <v>0</v>
      </c>
      <c r="H7" s="27">
        <f>(L7*1.088)/2</f>
        <v>0</v>
      </c>
      <c r="I7" s="27">
        <f>0.2*G7+0.2*H7</f>
        <v>0</v>
      </c>
      <c r="J7" s="28"/>
      <c r="L7" s="25">
        <f t="shared" si="2"/>
        <v>0</v>
      </c>
      <c r="M7" s="26"/>
    </row>
    <row r="8" spans="1:13" ht="12.95" customHeight="1" x14ac:dyDescent="0.25">
      <c r="A8" s="66"/>
      <c r="B8" s="59"/>
      <c r="C8" s="57" t="s">
        <v>8</v>
      </c>
      <c r="D8" s="10" t="s">
        <v>1</v>
      </c>
      <c r="E8" s="16"/>
      <c r="F8" s="23">
        <f>0.65616*G8-0.1</f>
        <v>-0.1</v>
      </c>
      <c r="G8" s="23">
        <f>L8-H8</f>
        <v>0</v>
      </c>
      <c r="H8" s="23">
        <f>(L8*1.095)/2</f>
        <v>0</v>
      </c>
      <c r="I8" s="23">
        <f>0.2*G8+0.2*H8</f>
        <v>0</v>
      </c>
      <c r="J8" s="24"/>
      <c r="L8" s="25">
        <f t="shared" si="2"/>
        <v>0</v>
      </c>
      <c r="M8" s="26"/>
    </row>
    <row r="9" spans="1:13" ht="12.95" customHeight="1" thickBot="1" x14ac:dyDescent="0.3">
      <c r="A9" s="66"/>
      <c r="B9" s="60"/>
      <c r="C9" s="61"/>
      <c r="D9" s="4" t="s">
        <v>0</v>
      </c>
      <c r="E9" s="16"/>
      <c r="F9" s="27">
        <f>0.65616*G9-0.1</f>
        <v>-0.1</v>
      </c>
      <c r="G9" s="27">
        <f>L9-H9</f>
        <v>0</v>
      </c>
      <c r="H9" s="27">
        <f>(L9*1.095)/2</f>
        <v>0</v>
      </c>
      <c r="I9" s="27">
        <f>0.2*G9+0.2*H9</f>
        <v>0</v>
      </c>
      <c r="J9" s="28"/>
      <c r="L9" s="25">
        <f t="shared" si="2"/>
        <v>0</v>
      </c>
      <c r="M9" s="26"/>
    </row>
    <row r="10" spans="1:13" ht="12.95" customHeight="1" thickTop="1" thickBot="1" x14ac:dyDescent="0.3">
      <c r="A10" s="66"/>
      <c r="B10" s="12">
        <v>100</v>
      </c>
      <c r="C10" s="11"/>
      <c r="D10" s="8"/>
      <c r="E10" s="7"/>
      <c r="F10" s="29" t="s">
        <v>15</v>
      </c>
      <c r="G10" s="29" t="s">
        <v>14</v>
      </c>
      <c r="H10" s="29" t="s">
        <v>4</v>
      </c>
      <c r="I10" s="29" t="s">
        <v>13</v>
      </c>
      <c r="J10" s="30" t="s">
        <v>7</v>
      </c>
      <c r="L10" s="25">
        <f t="shared" si="0"/>
        <v>0</v>
      </c>
    </row>
    <row r="11" spans="1:13" ht="12.95" customHeight="1" x14ac:dyDescent="0.25">
      <c r="A11" s="66"/>
      <c r="B11" s="59">
        <v>100</v>
      </c>
      <c r="C11" s="57" t="s">
        <v>11</v>
      </c>
      <c r="D11" s="5" t="s">
        <v>1</v>
      </c>
      <c r="E11" s="14"/>
      <c r="F11" s="23">
        <f>0.65616*G11-0.1</f>
        <v>-0.88739200000000007</v>
      </c>
      <c r="G11" s="23">
        <f>I11-1.6</f>
        <v>-1.2000000000000002</v>
      </c>
      <c r="H11" s="23">
        <f>G11+I11</f>
        <v>-0.80000000000000016</v>
      </c>
      <c r="I11" s="23">
        <f>(L11+1.6)/4</f>
        <v>0.4</v>
      </c>
      <c r="J11" s="31">
        <f>2*I11</f>
        <v>0.8</v>
      </c>
      <c r="L11" s="25">
        <f t="shared" si="0"/>
        <v>0</v>
      </c>
      <c r="M11" s="26"/>
    </row>
    <row r="12" spans="1:13" ht="12.95" customHeight="1" thickBot="1" x14ac:dyDescent="0.3">
      <c r="A12" s="66"/>
      <c r="B12" s="59"/>
      <c r="C12" s="61"/>
      <c r="D12" s="6" t="s">
        <v>0</v>
      </c>
      <c r="E12" s="15"/>
      <c r="F12" s="32">
        <f>0.65616*G12-0.1</f>
        <v>-0.88739200000000007</v>
      </c>
      <c r="G12" s="32">
        <f>I12-1.6</f>
        <v>-1.2000000000000002</v>
      </c>
      <c r="H12" s="32">
        <f>G12+I12</f>
        <v>-0.80000000000000016</v>
      </c>
      <c r="I12" s="32">
        <f>(L12+1.6)/4</f>
        <v>0.4</v>
      </c>
      <c r="J12" s="33">
        <f>2*I12</f>
        <v>0.8</v>
      </c>
      <c r="L12" s="25">
        <f t="shared" si="0"/>
        <v>0</v>
      </c>
      <c r="M12" s="26"/>
    </row>
    <row r="13" spans="1:13" ht="12.95" customHeight="1" x14ac:dyDescent="0.25">
      <c r="A13" s="66"/>
      <c r="B13" s="59"/>
      <c r="C13" s="57" t="s">
        <v>10</v>
      </c>
      <c r="D13" s="5" t="s">
        <v>1</v>
      </c>
      <c r="E13" s="14"/>
      <c r="F13" s="34">
        <f>0.65616*G13-0.2</f>
        <v>-0.69212000000000007</v>
      </c>
      <c r="G13" s="34">
        <f>(L13-3)/4</f>
        <v>-0.75</v>
      </c>
      <c r="H13" s="34">
        <f>(L13-1)/2</f>
        <v>-0.5</v>
      </c>
      <c r="I13" s="34">
        <f>(L13+1)/4</f>
        <v>0.25</v>
      </c>
      <c r="J13" s="35">
        <f t="shared" ref="J13:J18" si="3">I13*2</f>
        <v>0.5</v>
      </c>
      <c r="L13" s="25">
        <f t="shared" si="0"/>
        <v>0</v>
      </c>
      <c r="M13" s="26"/>
    </row>
    <row r="14" spans="1:13" ht="12.95" customHeight="1" thickBot="1" x14ac:dyDescent="0.3">
      <c r="A14" s="66"/>
      <c r="B14" s="59"/>
      <c r="C14" s="61"/>
      <c r="D14" s="6" t="s">
        <v>0</v>
      </c>
      <c r="E14" s="15"/>
      <c r="F14" s="32">
        <f>0.65616*G14-0.2</f>
        <v>-0.69212000000000007</v>
      </c>
      <c r="G14" s="32">
        <f>(L14-3)/4</f>
        <v>-0.75</v>
      </c>
      <c r="H14" s="32">
        <f>(L14-1)/2</f>
        <v>-0.5</v>
      </c>
      <c r="I14" s="32">
        <f>(L14+1)/4</f>
        <v>0.25</v>
      </c>
      <c r="J14" s="33">
        <f t="shared" si="3"/>
        <v>0.5</v>
      </c>
      <c r="L14" s="25">
        <f t="shared" si="0"/>
        <v>0</v>
      </c>
      <c r="M14" s="26"/>
    </row>
    <row r="15" spans="1:13" ht="12.95" customHeight="1" x14ac:dyDescent="0.25">
      <c r="A15" s="66"/>
      <c r="B15" s="59"/>
      <c r="C15" s="57" t="s">
        <v>9</v>
      </c>
      <c r="D15" s="5" t="s">
        <v>1</v>
      </c>
      <c r="E15" s="14"/>
      <c r="F15" s="23">
        <f>0.65616*G15-0.3</f>
        <v>-1.28424</v>
      </c>
      <c r="G15" s="23">
        <f>(L15-6)/4</f>
        <v>-1.5</v>
      </c>
      <c r="H15" s="23">
        <f>(L15-2)/2</f>
        <v>-1</v>
      </c>
      <c r="I15" s="23">
        <f>(L15+2)/4</f>
        <v>0.5</v>
      </c>
      <c r="J15" s="31">
        <f t="shared" si="3"/>
        <v>1</v>
      </c>
      <c r="L15" s="25">
        <f t="shared" si="0"/>
        <v>0</v>
      </c>
      <c r="M15" s="26"/>
    </row>
    <row r="16" spans="1:13" ht="12.95" customHeight="1" thickBot="1" x14ac:dyDescent="0.3">
      <c r="A16" s="66"/>
      <c r="B16" s="59"/>
      <c r="C16" s="61"/>
      <c r="D16" s="6" t="s">
        <v>0</v>
      </c>
      <c r="E16" s="15"/>
      <c r="F16" s="32">
        <f>0.65616*G16-0.3</f>
        <v>-1.28424</v>
      </c>
      <c r="G16" s="32">
        <f>(L16-6)/4</f>
        <v>-1.5</v>
      </c>
      <c r="H16" s="32">
        <f>(L16-2)/2</f>
        <v>-1</v>
      </c>
      <c r="I16" s="32">
        <f>(L16+2)/4</f>
        <v>0.5</v>
      </c>
      <c r="J16" s="33">
        <f t="shared" si="3"/>
        <v>1</v>
      </c>
      <c r="L16" s="25">
        <f t="shared" si="0"/>
        <v>0</v>
      </c>
      <c r="M16" s="26"/>
    </row>
    <row r="17" spans="1:13" ht="12.95" customHeight="1" x14ac:dyDescent="0.25">
      <c r="A17" s="66"/>
      <c r="B17" s="59"/>
      <c r="C17" s="57" t="s">
        <v>8</v>
      </c>
      <c r="D17" s="10" t="s">
        <v>1</v>
      </c>
      <c r="E17" s="16"/>
      <c r="F17" s="23">
        <f>0.65616*G17-0.5</f>
        <v>-1.7302999999999999</v>
      </c>
      <c r="G17" s="23">
        <f>H17-I17</f>
        <v>-1.875</v>
      </c>
      <c r="H17" s="23">
        <f>L17-J17</f>
        <v>-1.25</v>
      </c>
      <c r="I17" s="23">
        <f>(L17+2.5)/4</f>
        <v>0.625</v>
      </c>
      <c r="J17" s="31">
        <f t="shared" si="3"/>
        <v>1.25</v>
      </c>
      <c r="L17" s="25">
        <f t="shared" si="0"/>
        <v>0</v>
      </c>
      <c r="M17" s="26"/>
    </row>
    <row r="18" spans="1:13" ht="12.95" customHeight="1" thickBot="1" x14ac:dyDescent="0.3">
      <c r="A18" s="66"/>
      <c r="B18" s="60"/>
      <c r="C18" s="58"/>
      <c r="D18" s="4" t="s">
        <v>0</v>
      </c>
      <c r="E18" s="16"/>
      <c r="F18" s="36">
        <f>0.65616*G18-0.5</f>
        <v>-1.7302999999999999</v>
      </c>
      <c r="G18" s="36">
        <f>H18-I18</f>
        <v>-1.875</v>
      </c>
      <c r="H18" s="36">
        <f>L18-J18</f>
        <v>-1.25</v>
      </c>
      <c r="I18" s="36">
        <f>(L18+2.5)/4</f>
        <v>0.625</v>
      </c>
      <c r="J18" s="37">
        <f t="shared" si="3"/>
        <v>1.25</v>
      </c>
      <c r="L18" s="25">
        <f t="shared" si="0"/>
        <v>0</v>
      </c>
      <c r="M18" s="26"/>
    </row>
    <row r="19" spans="1:13" ht="12.95" customHeight="1" thickTop="1" thickBot="1" x14ac:dyDescent="0.3">
      <c r="A19" s="66"/>
      <c r="B19" s="12">
        <v>100</v>
      </c>
      <c r="C19" s="11"/>
      <c r="D19" s="8"/>
      <c r="E19" s="7"/>
      <c r="F19" s="38" t="s">
        <v>7</v>
      </c>
      <c r="G19" s="38" t="s">
        <v>12</v>
      </c>
      <c r="H19" s="38" t="s">
        <v>6</v>
      </c>
      <c r="I19" s="38" t="s">
        <v>4</v>
      </c>
      <c r="J19" s="39" t="s">
        <v>3</v>
      </c>
      <c r="L19" s="25">
        <f t="shared" si="0"/>
        <v>0</v>
      </c>
    </row>
    <row r="20" spans="1:13" ht="12.95" customHeight="1" x14ac:dyDescent="0.25">
      <c r="A20" s="66"/>
      <c r="B20" s="59">
        <v>200</v>
      </c>
      <c r="C20" s="57" t="s">
        <v>11</v>
      </c>
      <c r="D20" s="5" t="s">
        <v>1</v>
      </c>
      <c r="E20" s="14"/>
      <c r="F20" s="34">
        <f>(L20+1.7)/4</f>
        <v>0.42499999999999999</v>
      </c>
      <c r="G20" s="34">
        <f t="shared" ref="G20:G27" si="4">1.5*F20</f>
        <v>0.63749999999999996</v>
      </c>
      <c r="H20" s="34">
        <f t="shared" ref="H20:H25" si="5">2*F20</f>
        <v>0.85</v>
      </c>
      <c r="I20" s="34">
        <f>F20-1.7</f>
        <v>-1.2749999999999999</v>
      </c>
      <c r="J20" s="35">
        <f t="shared" ref="J20:J25" si="6">I20+F20</f>
        <v>-0.84999999999999987</v>
      </c>
      <c r="L20" s="25">
        <f t="shared" si="0"/>
        <v>0</v>
      </c>
      <c r="M20" s="26"/>
    </row>
    <row r="21" spans="1:13" ht="12.95" customHeight="1" thickBot="1" x14ac:dyDescent="0.3">
      <c r="A21" s="66"/>
      <c r="B21" s="59"/>
      <c r="C21" s="61"/>
      <c r="D21" s="6" t="s">
        <v>0</v>
      </c>
      <c r="E21" s="15"/>
      <c r="F21" s="32">
        <f>(L21+1.7)/4</f>
        <v>0.42499999999999999</v>
      </c>
      <c r="G21" s="32">
        <f t="shared" si="4"/>
        <v>0.63749999999999996</v>
      </c>
      <c r="H21" s="32">
        <f t="shared" si="5"/>
        <v>0.85</v>
      </c>
      <c r="I21" s="32">
        <f>F21-1.7</f>
        <v>-1.2749999999999999</v>
      </c>
      <c r="J21" s="33">
        <f t="shared" si="6"/>
        <v>-0.84999999999999987</v>
      </c>
      <c r="L21" s="25">
        <f t="shared" si="0"/>
        <v>0</v>
      </c>
      <c r="M21" s="26"/>
    </row>
    <row r="22" spans="1:13" ht="12.95" customHeight="1" x14ac:dyDescent="0.25">
      <c r="A22" s="66"/>
      <c r="B22" s="59"/>
      <c r="C22" s="57" t="s">
        <v>10</v>
      </c>
      <c r="D22" s="5" t="s">
        <v>1</v>
      </c>
      <c r="E22" s="14"/>
      <c r="F22" s="34">
        <f>(L22+1)/4</f>
        <v>0.25</v>
      </c>
      <c r="G22" s="34">
        <f t="shared" si="4"/>
        <v>0.375</v>
      </c>
      <c r="H22" s="34">
        <f t="shared" si="5"/>
        <v>0.5</v>
      </c>
      <c r="I22" s="34">
        <f>F22-1</f>
        <v>-0.75</v>
      </c>
      <c r="J22" s="35">
        <f t="shared" si="6"/>
        <v>-0.5</v>
      </c>
      <c r="L22" s="25">
        <f t="shared" si="0"/>
        <v>0</v>
      </c>
      <c r="M22" s="26"/>
    </row>
    <row r="23" spans="1:13" ht="12.95" customHeight="1" thickBot="1" x14ac:dyDescent="0.3">
      <c r="A23" s="66"/>
      <c r="B23" s="59"/>
      <c r="C23" s="61"/>
      <c r="D23" s="6" t="s">
        <v>0</v>
      </c>
      <c r="E23" s="15"/>
      <c r="F23" s="32">
        <f>(L23+1)/4</f>
        <v>0.25</v>
      </c>
      <c r="G23" s="32">
        <f t="shared" si="4"/>
        <v>0.375</v>
      </c>
      <c r="H23" s="32">
        <f t="shared" si="5"/>
        <v>0.5</v>
      </c>
      <c r="I23" s="32">
        <f>F23-1</f>
        <v>-0.75</v>
      </c>
      <c r="J23" s="33">
        <f t="shared" si="6"/>
        <v>-0.5</v>
      </c>
      <c r="L23" s="25">
        <f t="shared" si="0"/>
        <v>0</v>
      </c>
      <c r="M23" s="26"/>
    </row>
    <row r="24" spans="1:13" ht="12.95" customHeight="1" x14ac:dyDescent="0.25">
      <c r="A24" s="66"/>
      <c r="B24" s="59"/>
      <c r="C24" s="57" t="s">
        <v>9</v>
      </c>
      <c r="D24" s="5" t="s">
        <v>1</v>
      </c>
      <c r="E24" s="14"/>
      <c r="F24" s="34">
        <f>(L24+2)/4</f>
        <v>0.5</v>
      </c>
      <c r="G24" s="34">
        <f t="shared" si="4"/>
        <v>0.75</v>
      </c>
      <c r="H24" s="34">
        <f t="shared" si="5"/>
        <v>1</v>
      </c>
      <c r="I24" s="34">
        <f>F24-2</f>
        <v>-1.5</v>
      </c>
      <c r="J24" s="35">
        <f t="shared" si="6"/>
        <v>-1</v>
      </c>
      <c r="L24" s="25">
        <f t="shared" si="0"/>
        <v>0</v>
      </c>
      <c r="M24" s="26"/>
    </row>
    <row r="25" spans="1:13" ht="12.95" customHeight="1" thickBot="1" x14ac:dyDescent="0.3">
      <c r="A25" s="66"/>
      <c r="B25" s="59"/>
      <c r="C25" s="61"/>
      <c r="D25" s="6" t="s">
        <v>0</v>
      </c>
      <c r="E25" s="15"/>
      <c r="F25" s="32">
        <f>(L25+2)/4</f>
        <v>0.5</v>
      </c>
      <c r="G25" s="32">
        <f t="shared" si="4"/>
        <v>0.75</v>
      </c>
      <c r="H25" s="32">
        <f t="shared" si="5"/>
        <v>1</v>
      </c>
      <c r="I25" s="32">
        <f>F25-2</f>
        <v>-1.5</v>
      </c>
      <c r="J25" s="33">
        <f t="shared" si="6"/>
        <v>-1</v>
      </c>
      <c r="L25" s="25">
        <f t="shared" si="0"/>
        <v>0</v>
      </c>
      <c r="M25" s="26"/>
    </row>
    <row r="26" spans="1:13" ht="12.95" customHeight="1" x14ac:dyDescent="0.25">
      <c r="A26" s="66"/>
      <c r="B26" s="59"/>
      <c r="C26" s="57" t="s">
        <v>8</v>
      </c>
      <c r="D26" s="10" t="s">
        <v>1</v>
      </c>
      <c r="E26" s="16"/>
      <c r="F26" s="40">
        <f>(L26+2.8)/4</f>
        <v>0.7</v>
      </c>
      <c r="G26" s="40">
        <f t="shared" si="4"/>
        <v>1.0499999999999998</v>
      </c>
      <c r="H26" s="40">
        <f>F26*2</f>
        <v>1.4</v>
      </c>
      <c r="I26" s="40">
        <f>F26-2.8</f>
        <v>-2.0999999999999996</v>
      </c>
      <c r="J26" s="41">
        <f>F26+I26</f>
        <v>-1.3999999999999997</v>
      </c>
      <c r="L26" s="25">
        <f t="shared" si="0"/>
        <v>0</v>
      </c>
      <c r="M26" s="26"/>
    </row>
    <row r="27" spans="1:13" ht="12.95" customHeight="1" thickBot="1" x14ac:dyDescent="0.3">
      <c r="A27" s="66"/>
      <c r="B27" s="60"/>
      <c r="C27" s="58"/>
      <c r="D27" s="4" t="s">
        <v>0</v>
      </c>
      <c r="E27" s="16"/>
      <c r="F27" s="36">
        <f>(L27+2.8)/4</f>
        <v>0.7</v>
      </c>
      <c r="G27" s="36">
        <f t="shared" si="4"/>
        <v>1.0499999999999998</v>
      </c>
      <c r="H27" s="36">
        <f>F27*2</f>
        <v>1.4</v>
      </c>
      <c r="I27" s="36">
        <f>F27-2.8</f>
        <v>-2.0999999999999996</v>
      </c>
      <c r="J27" s="37">
        <f>F27+I27</f>
        <v>-1.3999999999999997</v>
      </c>
      <c r="L27" s="25">
        <f t="shared" si="0"/>
        <v>0</v>
      </c>
      <c r="M27" s="26"/>
    </row>
    <row r="28" spans="1:13" ht="12.95" customHeight="1" thickTop="1" thickBot="1" x14ac:dyDescent="0.3">
      <c r="A28" s="66"/>
      <c r="B28" s="9"/>
      <c r="C28" s="8"/>
      <c r="D28" s="8"/>
      <c r="E28" s="7"/>
      <c r="F28" s="42" t="s">
        <v>7</v>
      </c>
      <c r="G28" s="42" t="s">
        <v>6</v>
      </c>
      <c r="H28" s="42" t="s">
        <v>5</v>
      </c>
      <c r="I28" s="42" t="s">
        <v>4</v>
      </c>
      <c r="J28" s="43" t="s">
        <v>3</v>
      </c>
      <c r="L28" s="25">
        <f t="shared" si="0"/>
        <v>0</v>
      </c>
    </row>
    <row r="29" spans="1:13" ht="12.95" customHeight="1" x14ac:dyDescent="0.25">
      <c r="A29" s="66"/>
      <c r="B29" s="68" t="s">
        <v>18</v>
      </c>
      <c r="C29" s="57">
        <v>500</v>
      </c>
      <c r="D29" s="5" t="s">
        <v>1</v>
      </c>
      <c r="E29" s="14"/>
      <c r="F29" s="45">
        <f>(L29+1.7)/10</f>
        <v>0.16999999999999998</v>
      </c>
      <c r="G29" s="46">
        <f>IF(((L29+1.7)*2)&gt;600, ((L29+1.7)*2)+400, (L29+1.7)*2)</f>
        <v>3.4</v>
      </c>
      <c r="H29" s="47">
        <f t="shared" ref="H29:H34" si="7">INT((F29*3)/59.949)*1000+IF(F29*3&gt;=59.949,(F29*30-600),0)</f>
        <v>0</v>
      </c>
      <c r="I29" s="45">
        <f>(L29+1.7)/10-1.7</f>
        <v>-1.53</v>
      </c>
      <c r="J29" s="52">
        <f t="shared" ref="J29:J34" si="8">INT((I29+F29)/59.949)*1000+IF(I29+F29&gt;59.949,(I29+F29-59.949)*10,(I29+F29)*10)</f>
        <v>-1013.6</v>
      </c>
      <c r="L29" s="25">
        <f t="shared" si="0"/>
        <v>0</v>
      </c>
      <c r="M29" s="26"/>
    </row>
    <row r="30" spans="1:13" ht="12.95" customHeight="1" thickBot="1" x14ac:dyDescent="0.3">
      <c r="A30" s="66"/>
      <c r="B30" s="68"/>
      <c r="C30" s="61"/>
      <c r="D30" s="6" t="s">
        <v>0</v>
      </c>
      <c r="E30" s="15"/>
      <c r="F30" s="48">
        <f>(L30+1.7)/10</f>
        <v>0.16999999999999998</v>
      </c>
      <c r="G30" s="49">
        <f>IF(((L30+1.7)*2)&gt;600, ((L30+1.7)*2)+400, (L30+1.7)*2)</f>
        <v>3.4</v>
      </c>
      <c r="H30" s="49">
        <f t="shared" si="7"/>
        <v>0</v>
      </c>
      <c r="I30" s="48">
        <f>(L30+1.7)/10-1.7</f>
        <v>-1.53</v>
      </c>
      <c r="J30" s="50">
        <f t="shared" si="8"/>
        <v>-1013.6</v>
      </c>
      <c r="L30" s="25">
        <f t="shared" si="0"/>
        <v>0</v>
      </c>
      <c r="M30" s="26"/>
    </row>
    <row r="31" spans="1:13" ht="12.95" customHeight="1" x14ac:dyDescent="0.25">
      <c r="A31" s="66"/>
      <c r="B31" s="68"/>
      <c r="C31" s="57">
        <v>1000</v>
      </c>
      <c r="D31" s="5" t="s">
        <v>1</v>
      </c>
      <c r="E31" s="14"/>
      <c r="F31" s="51">
        <f>(L31+2)/20</f>
        <v>0.1</v>
      </c>
      <c r="G31" s="46">
        <f>IF(((L31+1.7))&gt;600, ((L31+1.7))+400, (L31+1.7)*2)</f>
        <v>3.4</v>
      </c>
      <c r="H31" s="46">
        <f t="shared" si="7"/>
        <v>0</v>
      </c>
      <c r="I31" s="51">
        <f>F31-2</f>
        <v>-1.9</v>
      </c>
      <c r="J31" s="52">
        <f t="shared" si="8"/>
        <v>-1018</v>
      </c>
      <c r="L31" s="25">
        <f t="shared" si="0"/>
        <v>0</v>
      </c>
      <c r="M31" s="26"/>
    </row>
    <row r="32" spans="1:13" ht="12.95" customHeight="1" thickBot="1" x14ac:dyDescent="0.3">
      <c r="A32" s="66"/>
      <c r="B32" s="68"/>
      <c r="C32" s="61"/>
      <c r="D32" s="6" t="s">
        <v>0</v>
      </c>
      <c r="E32" s="15"/>
      <c r="F32" s="53">
        <f>(L32+2)/20</f>
        <v>0.1</v>
      </c>
      <c r="G32" s="49">
        <f>IF(((L32+1.7))&gt;600, ((L32+1.7))+400, (L32+1.7))</f>
        <v>1.7</v>
      </c>
      <c r="H32" s="49">
        <f t="shared" si="7"/>
        <v>0</v>
      </c>
      <c r="I32" s="48">
        <f>F32-2</f>
        <v>-1.9</v>
      </c>
      <c r="J32" s="50">
        <f t="shared" si="8"/>
        <v>-1018</v>
      </c>
      <c r="L32" s="25">
        <f t="shared" si="0"/>
        <v>0</v>
      </c>
      <c r="M32" s="26"/>
    </row>
    <row r="33" spans="1:13" ht="12.75" customHeight="1" x14ac:dyDescent="0.25">
      <c r="A33" s="66"/>
      <c r="B33" s="68"/>
      <c r="C33" s="57" t="s">
        <v>2</v>
      </c>
      <c r="D33" s="5" t="s">
        <v>1</v>
      </c>
      <c r="E33" s="14"/>
      <c r="F33" s="45">
        <f>(L33+2)/33</f>
        <v>6.0606060606060608E-2</v>
      </c>
      <c r="G33" s="46">
        <f>IF(((L33+1.7)/16.5*10)&gt;600, ((L33+1.7)/16.5*10)+400, (L33+1.7)/16.5*10)</f>
        <v>1.0303030303030303</v>
      </c>
      <c r="H33" s="47">
        <f t="shared" si="7"/>
        <v>0</v>
      </c>
      <c r="I33" s="45">
        <f>F33-2</f>
        <v>-1.9393939393939394</v>
      </c>
      <c r="J33" s="52">
        <f t="shared" si="8"/>
        <v>-1018.7878787878788</v>
      </c>
      <c r="L33" s="25">
        <f t="shared" si="0"/>
        <v>0</v>
      </c>
      <c r="M33" s="26"/>
    </row>
    <row r="34" spans="1:13" ht="12.75" customHeight="1" thickBot="1" x14ac:dyDescent="0.3">
      <c r="A34" s="67"/>
      <c r="B34" s="69"/>
      <c r="C34" s="58"/>
      <c r="D34" s="4" t="s">
        <v>0</v>
      </c>
      <c r="E34" s="17"/>
      <c r="F34" s="54">
        <f>(L34+2)/33</f>
        <v>6.0606060606060608E-2</v>
      </c>
      <c r="G34" s="55">
        <f>IF(((L34+1.7)/16.5*10)&gt;600, ((L34+1.7)/16.5*10)+400, (L34+1.7)/16.5*10)</f>
        <v>1.0303030303030303</v>
      </c>
      <c r="H34" s="55">
        <f t="shared" si="7"/>
        <v>0</v>
      </c>
      <c r="I34" s="54">
        <f>F34-2</f>
        <v>-1.9393939393939394</v>
      </c>
      <c r="J34" s="56">
        <f t="shared" si="8"/>
        <v>-1018.7878787878788</v>
      </c>
      <c r="L34" s="25">
        <f t="shared" si="0"/>
        <v>0</v>
      </c>
      <c r="M34" s="26"/>
    </row>
    <row r="35" spans="1:13" ht="16.5" thickTop="1" x14ac:dyDescent="0.25"/>
    <row r="36" spans="1:13" ht="15.75" x14ac:dyDescent="0.25"/>
    <row r="37" spans="1:13" ht="15.75" x14ac:dyDescent="0.25"/>
    <row r="38" spans="1:13" ht="15.75" x14ac:dyDescent="0.25"/>
    <row r="39" spans="1:13" ht="15.75" x14ac:dyDescent="0.25"/>
  </sheetData>
  <autoFilter ref="L1:M34"/>
  <mergeCells count="21">
    <mergeCell ref="C26:C27"/>
    <mergeCell ref="B11:B18"/>
    <mergeCell ref="C6:C7"/>
    <mergeCell ref="C4:C5"/>
    <mergeCell ref="C8:C9"/>
    <mergeCell ref="B2:B9"/>
    <mergeCell ref="C17:C18"/>
    <mergeCell ref="B20:B27"/>
    <mergeCell ref="C20:C21"/>
    <mergeCell ref="B1:E1"/>
    <mergeCell ref="A1:A34"/>
    <mergeCell ref="C2:C3"/>
    <mergeCell ref="C29:C30"/>
    <mergeCell ref="C31:C32"/>
    <mergeCell ref="C33:C34"/>
    <mergeCell ref="B29:B34"/>
    <mergeCell ref="C11:C12"/>
    <mergeCell ref="C13:C14"/>
    <mergeCell ref="C15:C16"/>
    <mergeCell ref="C22:C23"/>
    <mergeCell ref="C24:C25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MyPaceCard-SCY</vt:lpstr>
      <vt:lpstr>'MyPaceCard-SCY'!Criteria</vt:lpstr>
      <vt:lpstr>'MyPaceCard-SCY'!Print_Area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Woodruff</dc:creator>
  <cp:lastModifiedBy>Ryan Woodruff</cp:lastModifiedBy>
  <dcterms:created xsi:type="dcterms:W3CDTF">2012-12-30T03:30:38Z</dcterms:created>
  <dcterms:modified xsi:type="dcterms:W3CDTF">2019-11-06T14:34:45Z</dcterms:modified>
</cp:coreProperties>
</file>